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UNICATIONS &amp; MARKETING\Budget\FY 20-21\"/>
    </mc:Choice>
  </mc:AlternateContent>
  <xr:revisionPtr revIDLastSave="0" documentId="8_{848E2269-9B5E-46EC-A4D4-B1E627F896EA}" xr6:coauthVersionLast="45" xr6:coauthVersionMax="45" xr10:uidLastSave="{00000000-0000-0000-0000-000000000000}"/>
  <bookViews>
    <workbookView xWindow="-28920" yWindow="-120" windowWidth="29040" windowHeight="15840" xr2:uid="{B9695BB8-D129-4631-8822-E226648C2519}"/>
  </bookViews>
  <sheets>
    <sheet name="Adopted FY21 Budget Dep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dj">[1]Budget!$A$2</definedName>
    <definedName name="All" localSheetId="0">#REF!</definedName>
    <definedName name="All">#REF!</definedName>
    <definedName name="Budget2006" localSheetId="0">#REF!</definedName>
    <definedName name="Budget2006">#REF!</definedName>
    <definedName name="Budget2007" localSheetId="0">#REF!</definedName>
    <definedName name="Budget2007">#REF!</definedName>
    <definedName name="Commercial_Inside_Volume_Base">'[2]Volume Input'!$L$24</definedName>
    <definedName name="_xlnm.Database" localSheetId="0">#REF!</definedName>
    <definedName name="_xlnm.Database">#REF!</definedName>
    <definedName name="Denton_County_Growth_Forecast___COG_1_14_05" localSheetId="0">#REF!</definedName>
    <definedName name="Denton_County_Growth_Forecast___COG_1_14_05">#REF!</definedName>
    <definedName name="Forecast2006" localSheetId="0">#REF!</definedName>
    <definedName name="Forecast2006">#REF!</definedName>
    <definedName name="FuelPricePerGallon" localSheetId="0">#REF!</definedName>
    <definedName name="FuelPricePerGallon">#REF!</definedName>
    <definedName name="FuelPricePerLiter" localSheetId="0">#REF!</definedName>
    <definedName name="FuelPricePerLiter">#REF!</definedName>
    <definedName name="g_501" localSheetId="0">'[3]2009 Revenue Budget'!#REF!</definedName>
    <definedName name="g_501">'[3]2009 Revenue Budget'!#REF!</definedName>
    <definedName name="g_502" localSheetId="0">'[3]2009 Revenue Budget'!#REF!</definedName>
    <definedName name="g_502">'[3]2009 Revenue Budget'!#REF!</definedName>
    <definedName name="g_503" localSheetId="0">'[3]2009 Revenue Budget'!#REF!</definedName>
    <definedName name="g_503">'[3]2009 Revenue Budget'!#REF!</definedName>
    <definedName name="g_504" localSheetId="0">'[3]2009 Revenue Budget'!#REF!</definedName>
    <definedName name="g_504">'[3]2009 Revenue Budget'!#REF!</definedName>
    <definedName name="g_505" localSheetId="0">'[3]2009 Revenue Budget'!#REF!</definedName>
    <definedName name="g_505">'[3]2009 Revenue Budget'!#REF!</definedName>
    <definedName name="g_506" localSheetId="0">'[3]2009 Revenue Budget'!#REF!</definedName>
    <definedName name="g_506">'[3]2009 Revenue Budget'!#REF!</definedName>
    <definedName name="g_509" localSheetId="0">'[3]2009 Revenue Budget'!#REF!</definedName>
    <definedName name="g_509">'[3]2009 Revenue Budget'!#REF!</definedName>
    <definedName name="g_510" localSheetId="0">'[3]2009 Revenue Budget'!#REF!</definedName>
    <definedName name="g_510">'[3]2009 Revenue Budget'!#REF!</definedName>
    <definedName name="g_512" localSheetId="0">'[3]2009 Revenue Budget'!#REF!</definedName>
    <definedName name="g_512">'[3]2009 Revenue Budget'!#REF!</definedName>
    <definedName name="g_513" localSheetId="0">'[3]2009 Revenue Budget'!#REF!</definedName>
    <definedName name="g_513">'[3]2009 Revenue Budget'!#REF!</definedName>
    <definedName name="GallonToLiterConversion" localSheetId="0">#REF!</definedName>
    <definedName name="GallonToLiterConversion">#REF!</definedName>
    <definedName name="gt_501" localSheetId="0">'[3]2009 Revenue Budget'!#REF!</definedName>
    <definedName name="gt_501">'[3]2009 Revenue Budget'!#REF!</definedName>
    <definedName name="gt_502" localSheetId="0">'[3]2009 Revenue Budget'!#REF!</definedName>
    <definedName name="gt_502">'[3]2009 Revenue Budget'!#REF!</definedName>
    <definedName name="gt_503" localSheetId="0">'[3]2009 Revenue Budget'!#REF!</definedName>
    <definedName name="gt_503">'[3]2009 Revenue Budget'!#REF!</definedName>
    <definedName name="gt_504" localSheetId="0">'[3]2009 Revenue Budget'!#REF!</definedName>
    <definedName name="gt_504">'[3]2009 Revenue Budget'!#REF!</definedName>
    <definedName name="gt_505" localSheetId="0">'[3]2009 Revenue Budget'!#REF!</definedName>
    <definedName name="gt_505">'[3]2009 Revenue Budget'!#REF!</definedName>
    <definedName name="gt_506" localSheetId="0">'[3]2009 Revenue Budget'!#REF!</definedName>
    <definedName name="gt_506">'[3]2009 Revenue Budget'!#REF!</definedName>
    <definedName name="gt_509" localSheetId="0">'[3]2009 Revenue Budget'!#REF!</definedName>
    <definedName name="gt_509">'[3]2009 Revenue Budget'!#REF!</definedName>
    <definedName name="gt_510" localSheetId="0">'[3]2009 Revenue Budget'!#REF!</definedName>
    <definedName name="gt_510">'[3]2009 Revenue Budget'!#REF!</definedName>
    <definedName name="gt_512" localSheetId="0">'[3]2009 Revenue Budget'!#REF!</definedName>
    <definedName name="gt_512">'[3]2009 Revenue Budget'!#REF!</definedName>
    <definedName name="gt_513" localSheetId="0">'[3]2009 Revenue Budget'!#REF!</definedName>
    <definedName name="gt_513">'[3]2009 Revenue Budget'!#REF!</definedName>
    <definedName name="L">#REF!</definedName>
    <definedName name="MachinistOTRate" localSheetId="0">'[4]MOW Labor'!#REF!</definedName>
    <definedName name="MachinistOTRate">'[4]MOW Labor'!#REF!</definedName>
    <definedName name="MachinistOTRate2">'[5]MOW Labor'!#REF!</definedName>
    <definedName name="MOELead" localSheetId="0">[4]Budget!#REF!</definedName>
    <definedName name="MOELead">[4]Budget!#REF!</definedName>
    <definedName name="MOETotals" localSheetId="0">[4]Budget!#REF!</definedName>
    <definedName name="MOETotals">[4]Budget!#REF!</definedName>
    <definedName name="MOWLead" localSheetId="0">[4]Budget!#REF!</definedName>
    <definedName name="MOWLead">[4]Budget!#REF!</definedName>
    <definedName name="MOWTotals" localSheetId="0">[4]Budget!#REF!</definedName>
    <definedName name="MOWTotals">[4]Budget!#REF!</definedName>
    <definedName name="o_501" localSheetId="0">'[3]2009 Revenue Budget'!#REF!</definedName>
    <definedName name="o_501">'[3]2009 Revenue Budget'!#REF!</definedName>
    <definedName name="o_502" localSheetId="0">'[3]2009 Revenue Budget'!#REF!</definedName>
    <definedName name="o_502">'[3]2009 Revenue Budget'!#REF!</definedName>
    <definedName name="o_503" localSheetId="0">'[3]2009 Revenue Budget'!#REF!</definedName>
    <definedName name="o_503">'[3]2009 Revenue Budget'!#REF!</definedName>
    <definedName name="o_504" localSheetId="0">'[3]2009 Revenue Budget'!#REF!</definedName>
    <definedName name="o_504">'[3]2009 Revenue Budget'!#REF!</definedName>
    <definedName name="o_505" localSheetId="0">'[3]2009 Revenue Budget'!#REF!</definedName>
    <definedName name="o_505">'[3]2009 Revenue Budget'!#REF!</definedName>
    <definedName name="o_506" localSheetId="0">'[3]2009 Revenue Budget'!#REF!</definedName>
    <definedName name="o_506">'[3]2009 Revenue Budget'!#REF!</definedName>
    <definedName name="o_508" localSheetId="0">'[3]2009 Revenue Budget'!#REF!</definedName>
    <definedName name="o_508">'[3]2009 Revenue Budget'!#REF!</definedName>
    <definedName name="o_509" localSheetId="0">'[3]2009 Revenue Budget'!#REF!</definedName>
    <definedName name="o_509">'[3]2009 Revenue Budget'!#REF!</definedName>
    <definedName name="o_512" localSheetId="0">'[3]2009 Revenue Budget'!#REF!</definedName>
    <definedName name="o_512">'[3]2009 Revenue Budget'!#REF!</definedName>
    <definedName name="o_513" localSheetId="0">'[3]2009 Revenue Budget'!#REF!</definedName>
    <definedName name="o_513">'[3]2009 Revenue Budget'!#REF!</definedName>
    <definedName name="oi_407" localSheetId="0">'[3]2009 Revenue Budget'!#REF!</definedName>
    <definedName name="oi_407">'[3]2009 Revenue Budget'!#REF!</definedName>
    <definedName name="oi_408" localSheetId="0">'[3]2009 Revenue Budget'!#REF!</definedName>
    <definedName name="oi_408">'[3]2009 Revenue Budget'!#REF!</definedName>
    <definedName name="oi_411" localSheetId="0">'[3]2009 Revenue Budget'!#REF!</definedName>
    <definedName name="oi_411">'[3]2009 Revenue Budget'!#REF!</definedName>
    <definedName name="oi_413" localSheetId="0">'[3]2009 Revenue Budget'!#REF!</definedName>
    <definedName name="oi_413">'[3]2009 Revenue Budget'!#REF!</definedName>
    <definedName name="oit_407" localSheetId="0">'[3]2009 Revenue Budget'!#REF!</definedName>
    <definedName name="oit_407">'[3]2009 Revenue Budget'!#REF!</definedName>
    <definedName name="oit_408" localSheetId="0">'[3]2009 Revenue Budget'!#REF!</definedName>
    <definedName name="oit_408">'[3]2009 Revenue Budget'!#REF!</definedName>
    <definedName name="oit_411" localSheetId="0">'[3]2009 Revenue Budget'!#REF!</definedName>
    <definedName name="oit_411">'[3]2009 Revenue Budget'!#REF!</definedName>
    <definedName name="oit_413" localSheetId="0">'[3]2009 Revenue Budget'!#REF!</definedName>
    <definedName name="oit_413">'[3]2009 Revenue Budget'!#REF!</definedName>
    <definedName name="ot_501" localSheetId="0">'[3]2009 Revenue Budget'!#REF!</definedName>
    <definedName name="ot_501">'[3]2009 Revenue Budget'!#REF!</definedName>
    <definedName name="ot_502" localSheetId="0">'[3]2009 Revenue Budget'!#REF!</definedName>
    <definedName name="ot_502">'[3]2009 Revenue Budget'!#REF!</definedName>
    <definedName name="ot_503" localSheetId="0">'[3]2009 Revenue Budget'!#REF!</definedName>
    <definedName name="ot_503">'[3]2009 Revenue Budget'!#REF!</definedName>
    <definedName name="ot_504" localSheetId="0">'[3]2009 Revenue Budget'!#REF!</definedName>
    <definedName name="ot_504">'[3]2009 Revenue Budget'!#REF!</definedName>
    <definedName name="ot_505" localSheetId="0">'[3]2009 Revenue Budget'!#REF!</definedName>
    <definedName name="ot_505">'[3]2009 Revenue Budget'!#REF!</definedName>
    <definedName name="ot_506" localSheetId="0">'[3]2009 Revenue Budget'!#REF!</definedName>
    <definedName name="ot_506">'[3]2009 Revenue Budget'!#REF!</definedName>
    <definedName name="ot_508" localSheetId="0">'[3]2009 Revenue Budget'!#REF!</definedName>
    <definedName name="ot_508">'[3]2009 Revenue Budget'!#REF!</definedName>
    <definedName name="ot_509" localSheetId="0">'[3]2009 Revenue Budget'!#REF!</definedName>
    <definedName name="ot_509">'[3]2009 Revenue Budget'!#REF!</definedName>
    <definedName name="ot_512" localSheetId="0">'[3]2009 Revenue Budget'!#REF!</definedName>
    <definedName name="ot_512">'[3]2009 Revenue Budget'!#REF!</definedName>
    <definedName name="ot_513" localSheetId="0">'[3]2009 Revenue Budget'!#REF!</definedName>
    <definedName name="ot_513">'[3]2009 Revenue Budget'!#REF!</definedName>
    <definedName name="PitBallastPerTon" localSheetId="0">'[4]MOW Expenses'!#REF!</definedName>
    <definedName name="PitBallastPerTon">'[4]MOW Expenses'!#REF!</definedName>
    <definedName name="_xlnm.Print_Area" localSheetId="0">'Adopted FY21 Budget Dept'!$A$1:$BC$103</definedName>
    <definedName name="_xlnm.Print_Titles" localSheetId="0">'Adopted FY21 Budget Dept'!$A:$B</definedName>
    <definedName name="rate" localSheetId="0">#REF!</definedName>
    <definedName name="rate">#REF!</definedName>
    <definedName name="sum_bud_accts" localSheetId="0">'[3]2009 Revenue Budget'!#REF!</definedName>
    <definedName name="sum_bud_accts">'[3]2009 Revenue Budget'!#REF!</definedName>
    <definedName name="sw" localSheetId="0">#REF!</definedName>
    <definedName name="sw">#REF!</definedName>
    <definedName name="TMDCWages" localSheetId="0">#REF!</definedName>
    <definedName name="TMDCWages">#REF!</definedName>
    <definedName name="TrackForemanStdRate" localSheetId="0">'[4]MOW Labor'!#REF!</definedName>
    <definedName name="TrackForemanStdRate">'[4]MOW Labor'!#REF!</definedName>
    <definedName name="TrackFormanOTRate" localSheetId="0">'[4]MOW Labor'!#REF!</definedName>
    <definedName name="TrackFormanOTRate">'[4]MOW Labor'!#REF!</definedName>
    <definedName name="TrackmanOTRate" localSheetId="0">'[4]MOW Labor'!#REF!</definedName>
    <definedName name="TrackmanOTRate">'[4]MOW Labor'!#REF!</definedName>
    <definedName name="TrackmanStdRate" localSheetId="0">'[4]MOW Labor'!#REF!</definedName>
    <definedName name="TrackmanStdRate">'[4]MOW Labor'!#REF!</definedName>
    <definedName name="TransLead" localSheetId="0">[4]Budget!#REF!</definedName>
    <definedName name="TransLead">[4]Budget!#REF!</definedName>
    <definedName name="WheatCarloadConversion" localSheetId="0">#REF!</definedName>
    <definedName name="WheatCarloadConvers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BL22" i="1" l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24" i="1"/>
  <c r="BM79" i="1"/>
  <c r="BL79" i="1"/>
  <c r="BL81" i="1" s="1"/>
  <c r="BN79" i="1" l="1"/>
  <c r="AZ39" i="1" l="1"/>
  <c r="AZ61" i="1"/>
  <c r="BI52" i="1" l="1"/>
  <c r="AN44" i="1" l="1"/>
  <c r="AJ44" i="1"/>
  <c r="AW16" i="1" l="1"/>
  <c r="AW15" i="1"/>
  <c r="AW12" i="1"/>
  <c r="AW9" i="1"/>
  <c r="AW8" i="1"/>
  <c r="AU12" i="1"/>
  <c r="AU9" i="1"/>
  <c r="AU8" i="1"/>
  <c r="W106" i="1"/>
  <c r="W107" i="1"/>
  <c r="W108" i="1"/>
  <c r="W109" i="1"/>
  <c r="W110" i="1"/>
  <c r="W111" i="1"/>
  <c r="W112" i="1"/>
  <c r="W113" i="1"/>
  <c r="W114" i="1"/>
  <c r="W115" i="1"/>
  <c r="W79" i="1"/>
  <c r="W22" i="1"/>
  <c r="W5" i="1"/>
  <c r="Y66" i="1"/>
  <c r="Y45" i="1"/>
  <c r="Y35" i="1"/>
  <c r="AV40" i="1"/>
  <c r="X45" i="1"/>
  <c r="X42" i="1"/>
  <c r="X40" i="1"/>
  <c r="X38" i="1"/>
  <c r="W81" i="1" l="1"/>
  <c r="X79" i="1"/>
  <c r="W116" i="1"/>
  <c r="F30" i="1"/>
  <c r="F101" i="1" l="1"/>
  <c r="AW101" i="1"/>
  <c r="AU101" i="1"/>
  <c r="AS101" i="1"/>
  <c r="AQ101" i="1"/>
  <c r="AO101" i="1"/>
  <c r="AN101" i="1"/>
  <c r="AM101" i="1"/>
  <c r="AL101" i="1"/>
  <c r="AK101" i="1"/>
  <c r="AJ101" i="1"/>
  <c r="AG101" i="1"/>
  <c r="AF101" i="1"/>
  <c r="AC101" i="1"/>
  <c r="AB101" i="1"/>
  <c r="Y101" i="1"/>
  <c r="V101" i="1"/>
  <c r="U101" i="1"/>
  <c r="S101" i="1"/>
  <c r="Q101" i="1"/>
  <c r="O101" i="1"/>
  <c r="AZ115" i="1" l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V115" i="1"/>
  <c r="U115" i="1"/>
  <c r="T115" i="1"/>
  <c r="S115" i="1"/>
  <c r="R115" i="1"/>
  <c r="Q115" i="1"/>
  <c r="P115" i="1"/>
  <c r="O115" i="1"/>
  <c r="N115" i="1"/>
  <c r="K115" i="1"/>
  <c r="J115" i="1"/>
  <c r="I115" i="1"/>
  <c r="H115" i="1"/>
  <c r="G115" i="1"/>
  <c r="F115" i="1"/>
  <c r="E115" i="1"/>
  <c r="D115" i="1"/>
  <c r="C115" i="1"/>
  <c r="AZ114" i="1"/>
  <c r="AW114" i="1"/>
  <c r="AV114" i="1"/>
  <c r="BM114" i="1" s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V114" i="1"/>
  <c r="U114" i="1"/>
  <c r="T114" i="1"/>
  <c r="S114" i="1"/>
  <c r="R114" i="1"/>
  <c r="Q114" i="1"/>
  <c r="P114" i="1"/>
  <c r="O114" i="1"/>
  <c r="N114" i="1"/>
  <c r="K114" i="1"/>
  <c r="J114" i="1"/>
  <c r="I114" i="1"/>
  <c r="H114" i="1"/>
  <c r="G114" i="1"/>
  <c r="F114" i="1"/>
  <c r="E114" i="1"/>
  <c r="D114" i="1"/>
  <c r="C114" i="1"/>
  <c r="AZ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V113" i="1"/>
  <c r="U113" i="1"/>
  <c r="T113" i="1"/>
  <c r="S113" i="1"/>
  <c r="R113" i="1"/>
  <c r="Q113" i="1"/>
  <c r="P113" i="1"/>
  <c r="O113" i="1"/>
  <c r="N113" i="1"/>
  <c r="K113" i="1"/>
  <c r="J113" i="1"/>
  <c r="I113" i="1"/>
  <c r="H113" i="1"/>
  <c r="G113" i="1"/>
  <c r="F113" i="1"/>
  <c r="E113" i="1"/>
  <c r="D113" i="1"/>
  <c r="C113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V112" i="1"/>
  <c r="U112" i="1"/>
  <c r="T112" i="1"/>
  <c r="S112" i="1"/>
  <c r="R112" i="1"/>
  <c r="Q112" i="1"/>
  <c r="P112" i="1"/>
  <c r="O112" i="1"/>
  <c r="N112" i="1"/>
  <c r="K112" i="1"/>
  <c r="J112" i="1"/>
  <c r="I112" i="1"/>
  <c r="H112" i="1"/>
  <c r="G112" i="1"/>
  <c r="F112" i="1"/>
  <c r="E112" i="1"/>
  <c r="D112" i="1"/>
  <c r="C112" i="1"/>
  <c r="AZ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V111" i="1"/>
  <c r="U111" i="1"/>
  <c r="T111" i="1"/>
  <c r="S111" i="1"/>
  <c r="R111" i="1"/>
  <c r="Q111" i="1"/>
  <c r="P111" i="1"/>
  <c r="O111" i="1"/>
  <c r="N111" i="1"/>
  <c r="K111" i="1"/>
  <c r="J111" i="1"/>
  <c r="I111" i="1"/>
  <c r="H111" i="1"/>
  <c r="G111" i="1"/>
  <c r="F111" i="1"/>
  <c r="E111" i="1"/>
  <c r="D111" i="1"/>
  <c r="C111" i="1"/>
  <c r="AZ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V110" i="1"/>
  <c r="U110" i="1"/>
  <c r="T110" i="1"/>
  <c r="S110" i="1"/>
  <c r="R110" i="1"/>
  <c r="Q110" i="1"/>
  <c r="P110" i="1"/>
  <c r="O110" i="1"/>
  <c r="N110" i="1"/>
  <c r="K110" i="1"/>
  <c r="J110" i="1"/>
  <c r="I110" i="1"/>
  <c r="H110" i="1"/>
  <c r="G110" i="1"/>
  <c r="F110" i="1"/>
  <c r="E110" i="1"/>
  <c r="D110" i="1"/>
  <c r="C110" i="1"/>
  <c r="AZ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V109" i="1"/>
  <c r="U109" i="1"/>
  <c r="T109" i="1"/>
  <c r="S109" i="1"/>
  <c r="R109" i="1"/>
  <c r="Q109" i="1"/>
  <c r="P109" i="1"/>
  <c r="O109" i="1"/>
  <c r="N109" i="1"/>
  <c r="K109" i="1"/>
  <c r="J109" i="1"/>
  <c r="I109" i="1"/>
  <c r="H109" i="1"/>
  <c r="G109" i="1"/>
  <c r="F109" i="1"/>
  <c r="E109" i="1"/>
  <c r="D109" i="1"/>
  <c r="C109" i="1"/>
  <c r="AZ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V108" i="1"/>
  <c r="U108" i="1"/>
  <c r="T108" i="1"/>
  <c r="S108" i="1"/>
  <c r="R108" i="1"/>
  <c r="Q108" i="1"/>
  <c r="P108" i="1"/>
  <c r="O108" i="1"/>
  <c r="N108" i="1"/>
  <c r="K108" i="1"/>
  <c r="J108" i="1"/>
  <c r="I108" i="1"/>
  <c r="H108" i="1"/>
  <c r="F108" i="1"/>
  <c r="E108" i="1"/>
  <c r="D108" i="1"/>
  <c r="C108" i="1"/>
  <c r="AZ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V107" i="1"/>
  <c r="U107" i="1"/>
  <c r="T107" i="1"/>
  <c r="S107" i="1"/>
  <c r="R107" i="1"/>
  <c r="Q107" i="1"/>
  <c r="P107" i="1"/>
  <c r="O107" i="1"/>
  <c r="N107" i="1"/>
  <c r="K107" i="1"/>
  <c r="J107" i="1"/>
  <c r="I107" i="1"/>
  <c r="H107" i="1"/>
  <c r="G107" i="1"/>
  <c r="F107" i="1"/>
  <c r="E107" i="1"/>
  <c r="D107" i="1"/>
  <c r="C107" i="1"/>
  <c r="AZ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V106" i="1"/>
  <c r="U106" i="1"/>
  <c r="T106" i="1"/>
  <c r="S106" i="1"/>
  <c r="R106" i="1"/>
  <c r="Q106" i="1"/>
  <c r="P106" i="1"/>
  <c r="O106" i="1"/>
  <c r="N106" i="1"/>
  <c r="L106" i="1"/>
  <c r="K106" i="1"/>
  <c r="J106" i="1"/>
  <c r="I106" i="1"/>
  <c r="H106" i="1"/>
  <c r="G106" i="1"/>
  <c r="F106" i="1"/>
  <c r="E106" i="1"/>
  <c r="D106" i="1"/>
  <c r="C106" i="1"/>
  <c r="AZ101" i="1"/>
  <c r="AV101" i="1"/>
  <c r="AT101" i="1"/>
  <c r="AR101" i="1"/>
  <c r="AP101" i="1"/>
  <c r="AH101" i="1"/>
  <c r="AA101" i="1"/>
  <c r="Z101" i="1"/>
  <c r="X101" i="1"/>
  <c r="T101" i="1"/>
  <c r="R101" i="1"/>
  <c r="P101" i="1"/>
  <c r="N101" i="1"/>
  <c r="K101" i="1"/>
  <c r="J101" i="1"/>
  <c r="I101" i="1"/>
  <c r="H101" i="1"/>
  <c r="G101" i="1"/>
  <c r="E101" i="1"/>
  <c r="D101" i="1"/>
  <c r="C101" i="1"/>
  <c r="BE100" i="1"/>
  <c r="BD100" i="1"/>
  <c r="AX100" i="1"/>
  <c r="L100" i="1"/>
  <c r="BB100" i="1" s="1"/>
  <c r="BE99" i="1"/>
  <c r="BD99" i="1"/>
  <c r="AX99" i="1"/>
  <c r="L99" i="1"/>
  <c r="BB99" i="1" s="1"/>
  <c r="BE98" i="1"/>
  <c r="BD98" i="1"/>
  <c r="AX98" i="1"/>
  <c r="L98" i="1"/>
  <c r="BE97" i="1"/>
  <c r="BD97" i="1"/>
  <c r="AX97" i="1"/>
  <c r="L97" i="1"/>
  <c r="BE96" i="1"/>
  <c r="BD96" i="1"/>
  <c r="BE95" i="1"/>
  <c r="BD95" i="1"/>
  <c r="AX95" i="1"/>
  <c r="L95" i="1"/>
  <c r="BE94" i="1"/>
  <c r="BD94" i="1"/>
  <c r="BE93" i="1"/>
  <c r="BD93" i="1"/>
  <c r="AX93" i="1"/>
  <c r="L93" i="1"/>
  <c r="BE92" i="1"/>
  <c r="BD92" i="1"/>
  <c r="AX92" i="1"/>
  <c r="L92" i="1"/>
  <c r="BE91" i="1"/>
  <c r="BD91" i="1"/>
  <c r="AX91" i="1"/>
  <c r="L91" i="1"/>
  <c r="BE90" i="1"/>
  <c r="BD90" i="1"/>
  <c r="AX90" i="1"/>
  <c r="L90" i="1"/>
  <c r="BE89" i="1"/>
  <c r="BD89" i="1"/>
  <c r="AX89" i="1"/>
  <c r="L89" i="1"/>
  <c r="BE88" i="1"/>
  <c r="BD88" i="1"/>
  <c r="AX88" i="1"/>
  <c r="L88" i="1"/>
  <c r="BB88" i="1" s="1"/>
  <c r="BE87" i="1"/>
  <c r="BD87" i="1"/>
  <c r="AX87" i="1"/>
  <c r="L87" i="1"/>
  <c r="BE86" i="1"/>
  <c r="BD86" i="1"/>
  <c r="AX86" i="1"/>
  <c r="L86" i="1"/>
  <c r="BE85" i="1"/>
  <c r="BD85" i="1"/>
  <c r="AX85" i="1"/>
  <c r="L85" i="1"/>
  <c r="BE84" i="1"/>
  <c r="BD84" i="1"/>
  <c r="AX84" i="1"/>
  <c r="L84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V79" i="1"/>
  <c r="U79" i="1"/>
  <c r="T79" i="1"/>
  <c r="S79" i="1"/>
  <c r="R79" i="1"/>
  <c r="Q79" i="1"/>
  <c r="P79" i="1"/>
  <c r="O79" i="1"/>
  <c r="N79" i="1"/>
  <c r="K79" i="1"/>
  <c r="J79" i="1"/>
  <c r="I79" i="1"/>
  <c r="H79" i="1"/>
  <c r="F79" i="1"/>
  <c r="E79" i="1"/>
  <c r="D79" i="1"/>
  <c r="C79" i="1"/>
  <c r="BE78" i="1"/>
  <c r="BD78" i="1"/>
  <c r="AX78" i="1"/>
  <c r="L78" i="1"/>
  <c r="BE77" i="1"/>
  <c r="BD77" i="1"/>
  <c r="AX77" i="1"/>
  <c r="L77" i="1"/>
  <c r="BE76" i="1"/>
  <c r="BD76" i="1"/>
  <c r="AX76" i="1"/>
  <c r="L76" i="1"/>
  <c r="BE75" i="1"/>
  <c r="BD75" i="1"/>
  <c r="AX75" i="1"/>
  <c r="L75" i="1"/>
  <c r="BE74" i="1"/>
  <c r="BD74" i="1"/>
  <c r="AX74" i="1"/>
  <c r="L74" i="1"/>
  <c r="BE73" i="1"/>
  <c r="BD73" i="1"/>
  <c r="AX73" i="1"/>
  <c r="L73" i="1"/>
  <c r="BE72" i="1"/>
  <c r="BD72" i="1"/>
  <c r="AX72" i="1"/>
  <c r="L72" i="1"/>
  <c r="BE71" i="1"/>
  <c r="BD71" i="1"/>
  <c r="AX71" i="1"/>
  <c r="L71" i="1"/>
  <c r="BE70" i="1"/>
  <c r="BD70" i="1"/>
  <c r="AX70" i="1"/>
  <c r="AX114" i="1" s="1"/>
  <c r="L70" i="1"/>
  <c r="BE69" i="1"/>
  <c r="BD69" i="1"/>
  <c r="AX69" i="1"/>
  <c r="L69" i="1"/>
  <c r="BB69" i="1" s="1"/>
  <c r="BE68" i="1"/>
  <c r="BD68" i="1"/>
  <c r="AX68" i="1"/>
  <c r="L68" i="1"/>
  <c r="BE67" i="1"/>
  <c r="BD67" i="1"/>
  <c r="AX67" i="1"/>
  <c r="BB67" i="1" s="1"/>
  <c r="L67" i="1"/>
  <c r="BE66" i="1"/>
  <c r="BD66" i="1"/>
  <c r="AX66" i="1"/>
  <c r="L66" i="1"/>
  <c r="BE65" i="1"/>
  <c r="BD65" i="1"/>
  <c r="AX65" i="1"/>
  <c r="L65" i="1"/>
  <c r="BE64" i="1"/>
  <c r="BD64" i="1"/>
  <c r="AX64" i="1"/>
  <c r="L64" i="1"/>
  <c r="BE63" i="1"/>
  <c r="BD63" i="1"/>
  <c r="AX63" i="1"/>
  <c r="L63" i="1"/>
  <c r="BE62" i="1"/>
  <c r="BD62" i="1"/>
  <c r="AX62" i="1"/>
  <c r="L62" i="1"/>
  <c r="BE61" i="1"/>
  <c r="BD61" i="1"/>
  <c r="AZ112" i="1"/>
  <c r="AX61" i="1"/>
  <c r="AX112" i="1" s="1"/>
  <c r="L61" i="1"/>
  <c r="L112" i="1" s="1"/>
  <c r="BE60" i="1"/>
  <c r="BD60" i="1"/>
  <c r="AX60" i="1"/>
  <c r="L60" i="1"/>
  <c r="BE59" i="1"/>
  <c r="BD59" i="1"/>
  <c r="AX59" i="1"/>
  <c r="L59" i="1"/>
  <c r="BE58" i="1"/>
  <c r="BD58" i="1"/>
  <c r="AX58" i="1"/>
  <c r="L58" i="1"/>
  <c r="BE57" i="1"/>
  <c r="BD57" i="1"/>
  <c r="AX57" i="1"/>
  <c r="L57" i="1"/>
  <c r="BE56" i="1"/>
  <c r="BD56" i="1"/>
  <c r="AX56" i="1"/>
  <c r="L56" i="1"/>
  <c r="BE55" i="1"/>
  <c r="BD55" i="1"/>
  <c r="AX55" i="1"/>
  <c r="L55" i="1"/>
  <c r="BE54" i="1"/>
  <c r="BD54" i="1"/>
  <c r="AX54" i="1"/>
  <c r="L54" i="1"/>
  <c r="BE53" i="1"/>
  <c r="BD53" i="1"/>
  <c r="AX53" i="1"/>
  <c r="L53" i="1"/>
  <c r="BE52" i="1"/>
  <c r="BD52" i="1"/>
  <c r="AX52" i="1"/>
  <c r="L52" i="1"/>
  <c r="BE51" i="1"/>
  <c r="BD51" i="1"/>
  <c r="AX51" i="1"/>
  <c r="L51" i="1"/>
  <c r="BE50" i="1"/>
  <c r="BD50" i="1"/>
  <c r="AX50" i="1"/>
  <c r="L50" i="1"/>
  <c r="BE49" i="1"/>
  <c r="BD49" i="1"/>
  <c r="AX49" i="1"/>
  <c r="L49" i="1"/>
  <c r="BE48" i="1"/>
  <c r="BD48" i="1"/>
  <c r="AX48" i="1"/>
  <c r="BB48" i="1" s="1"/>
  <c r="L48" i="1"/>
  <c r="BE47" i="1"/>
  <c r="BD47" i="1"/>
  <c r="AX47" i="1"/>
  <c r="L47" i="1"/>
  <c r="BE46" i="1"/>
  <c r="BD46" i="1"/>
  <c r="AX46" i="1"/>
  <c r="L46" i="1"/>
  <c r="BE45" i="1"/>
  <c r="BD45" i="1"/>
  <c r="AX45" i="1"/>
  <c r="L45" i="1"/>
  <c r="BE44" i="1"/>
  <c r="BD44" i="1"/>
  <c r="AX44" i="1"/>
  <c r="L44" i="1"/>
  <c r="BE43" i="1"/>
  <c r="BD43" i="1"/>
  <c r="AX43" i="1"/>
  <c r="L43" i="1"/>
  <c r="BE42" i="1"/>
  <c r="BD42" i="1"/>
  <c r="AX42" i="1"/>
  <c r="L42" i="1"/>
  <c r="BE41" i="1"/>
  <c r="BD41" i="1"/>
  <c r="AX41" i="1"/>
  <c r="L41" i="1"/>
  <c r="BE40" i="1"/>
  <c r="BD40" i="1"/>
  <c r="AX40" i="1"/>
  <c r="L40" i="1"/>
  <c r="BE39" i="1"/>
  <c r="BD39" i="1"/>
  <c r="AX39" i="1"/>
  <c r="L39" i="1"/>
  <c r="BE38" i="1"/>
  <c r="BD38" i="1"/>
  <c r="AX38" i="1"/>
  <c r="L38" i="1"/>
  <c r="BE37" i="1"/>
  <c r="BD37" i="1"/>
  <c r="AX37" i="1"/>
  <c r="L37" i="1"/>
  <c r="BE36" i="1"/>
  <c r="BD36" i="1"/>
  <c r="AX36" i="1"/>
  <c r="L36" i="1"/>
  <c r="BE35" i="1"/>
  <c r="BD35" i="1"/>
  <c r="AX35" i="1"/>
  <c r="L35" i="1"/>
  <c r="BE34" i="1"/>
  <c r="BD34" i="1"/>
  <c r="AX34" i="1"/>
  <c r="L34" i="1"/>
  <c r="BE33" i="1"/>
  <c r="BD33" i="1"/>
  <c r="AX33" i="1"/>
  <c r="L33" i="1"/>
  <c r="BE32" i="1"/>
  <c r="BD32" i="1"/>
  <c r="AX32" i="1"/>
  <c r="L32" i="1"/>
  <c r="BE31" i="1"/>
  <c r="BD31" i="1"/>
  <c r="AX31" i="1"/>
  <c r="L31" i="1"/>
  <c r="BE30" i="1"/>
  <c r="BD30" i="1"/>
  <c r="AX30" i="1"/>
  <c r="G30" i="1"/>
  <c r="G108" i="1" s="1"/>
  <c r="BE29" i="1"/>
  <c r="BD29" i="1"/>
  <c r="AX29" i="1"/>
  <c r="L29" i="1"/>
  <c r="BE28" i="1"/>
  <c r="BD28" i="1"/>
  <c r="AX28" i="1"/>
  <c r="L28" i="1"/>
  <c r="BE27" i="1"/>
  <c r="BD27" i="1"/>
  <c r="AX27" i="1"/>
  <c r="L27" i="1"/>
  <c r="BE26" i="1"/>
  <c r="BD26" i="1"/>
  <c r="AX26" i="1"/>
  <c r="L26" i="1"/>
  <c r="BE25" i="1"/>
  <c r="BD25" i="1"/>
  <c r="AX25" i="1"/>
  <c r="L25" i="1"/>
  <c r="BE24" i="1"/>
  <c r="BD24" i="1"/>
  <c r="AX24" i="1"/>
  <c r="L24" i="1"/>
  <c r="AZ22" i="1"/>
  <c r="AW22" i="1"/>
  <c r="AV22" i="1"/>
  <c r="AU22" i="1"/>
  <c r="AT22" i="1"/>
  <c r="AS22" i="1"/>
  <c r="AR22" i="1"/>
  <c r="AQ22" i="1"/>
  <c r="AP22" i="1"/>
  <c r="AO22" i="1"/>
  <c r="AN22" i="1"/>
  <c r="AM22" i="1"/>
  <c r="AM81" i="1" s="1"/>
  <c r="AL22" i="1"/>
  <c r="AK22" i="1"/>
  <c r="AJ22" i="1"/>
  <c r="AI22" i="1"/>
  <c r="AH22" i="1"/>
  <c r="AG22" i="1"/>
  <c r="AG81" i="1" s="1"/>
  <c r="AF22" i="1"/>
  <c r="AE22" i="1"/>
  <c r="AD22" i="1"/>
  <c r="AC22" i="1"/>
  <c r="AB22" i="1"/>
  <c r="AB81" i="1" s="1"/>
  <c r="AA22" i="1"/>
  <c r="AA81" i="1" s="1"/>
  <c r="Z22" i="1"/>
  <c r="Y22" i="1"/>
  <c r="X22" i="1"/>
  <c r="V22" i="1"/>
  <c r="U22" i="1"/>
  <c r="T22" i="1"/>
  <c r="S22" i="1"/>
  <c r="R22" i="1"/>
  <c r="Q22" i="1"/>
  <c r="P22" i="1"/>
  <c r="O22" i="1"/>
  <c r="N22" i="1"/>
  <c r="K22" i="1"/>
  <c r="J22" i="1"/>
  <c r="I22" i="1"/>
  <c r="H22" i="1"/>
  <c r="G22" i="1"/>
  <c r="F22" i="1"/>
  <c r="E22" i="1"/>
  <c r="D22" i="1"/>
  <c r="C22" i="1"/>
  <c r="BE21" i="1"/>
  <c r="BD21" i="1"/>
  <c r="AX21" i="1"/>
  <c r="BM21" i="1" s="1"/>
  <c r="BN21" i="1" s="1"/>
  <c r="L21" i="1"/>
  <c r="BE20" i="1"/>
  <c r="BD20" i="1"/>
  <c r="AX20" i="1"/>
  <c r="BM20" i="1" s="1"/>
  <c r="BN20" i="1" s="1"/>
  <c r="L20" i="1"/>
  <c r="BE19" i="1"/>
  <c r="BD19" i="1"/>
  <c r="AX19" i="1"/>
  <c r="BM19" i="1" s="1"/>
  <c r="BN19" i="1" s="1"/>
  <c r="L19" i="1"/>
  <c r="BE18" i="1"/>
  <c r="BD18" i="1"/>
  <c r="AX18" i="1"/>
  <c r="BM18" i="1" s="1"/>
  <c r="BN18" i="1" s="1"/>
  <c r="L18" i="1"/>
  <c r="BE17" i="1"/>
  <c r="BD17" i="1"/>
  <c r="AX17" i="1"/>
  <c r="L17" i="1"/>
  <c r="BE16" i="1"/>
  <c r="BD16" i="1"/>
  <c r="AX16" i="1"/>
  <c r="BM16" i="1" s="1"/>
  <c r="BN16" i="1" s="1"/>
  <c r="L16" i="1"/>
  <c r="BB16" i="1" s="1"/>
  <c r="BE15" i="1"/>
  <c r="BD15" i="1"/>
  <c r="AX15" i="1"/>
  <c r="BM15" i="1" s="1"/>
  <c r="BN15" i="1" s="1"/>
  <c r="L15" i="1"/>
  <c r="BE14" i="1"/>
  <c r="BD14" i="1"/>
  <c r="AX14" i="1"/>
  <c r="BM14" i="1" s="1"/>
  <c r="BN14" i="1" s="1"/>
  <c r="L14" i="1"/>
  <c r="BE13" i="1"/>
  <c r="BD13" i="1"/>
  <c r="AX13" i="1"/>
  <c r="BM13" i="1" s="1"/>
  <c r="L13" i="1"/>
  <c r="BE12" i="1"/>
  <c r="BD12" i="1"/>
  <c r="AX12" i="1"/>
  <c r="BM12" i="1" s="1"/>
  <c r="L12" i="1"/>
  <c r="BE11" i="1"/>
  <c r="BD11" i="1"/>
  <c r="AX11" i="1"/>
  <c r="BM11" i="1" s="1"/>
  <c r="BN11" i="1" s="1"/>
  <c r="L11" i="1"/>
  <c r="BE10" i="1"/>
  <c r="BD10" i="1"/>
  <c r="AX10" i="1"/>
  <c r="BM10" i="1" s="1"/>
  <c r="BN10" i="1" s="1"/>
  <c r="L10" i="1"/>
  <c r="BB10" i="1" s="1"/>
  <c r="BE9" i="1"/>
  <c r="BD9" i="1"/>
  <c r="AX9" i="1"/>
  <c r="BM9" i="1" s="1"/>
  <c r="BN9" i="1" s="1"/>
  <c r="L9" i="1"/>
  <c r="BE8" i="1"/>
  <c r="BD8" i="1"/>
  <c r="AX8" i="1"/>
  <c r="BM8" i="1" s="1"/>
  <c r="L8" i="1"/>
  <c r="AZ5" i="1"/>
  <c r="AV5" i="1"/>
  <c r="AT5" i="1"/>
  <c r="AR5" i="1"/>
  <c r="AP5" i="1"/>
  <c r="AN5" i="1"/>
  <c r="AL5" i="1"/>
  <c r="AJ5" i="1"/>
  <c r="AH5" i="1"/>
  <c r="AG5" i="1"/>
  <c r="AF5" i="1"/>
  <c r="AD5" i="1"/>
  <c r="AB5" i="1"/>
  <c r="AA5" i="1"/>
  <c r="Z5" i="1"/>
  <c r="X5" i="1"/>
  <c r="V5" i="1"/>
  <c r="T5" i="1"/>
  <c r="R5" i="1"/>
  <c r="P5" i="1"/>
  <c r="N5" i="1"/>
  <c r="K5" i="1"/>
  <c r="J5" i="1"/>
  <c r="I5" i="1"/>
  <c r="H5" i="1"/>
  <c r="G5" i="1"/>
  <c r="F5" i="1"/>
  <c r="E5" i="1"/>
  <c r="D5" i="1"/>
  <c r="C5" i="1"/>
  <c r="BE3" i="1"/>
  <c r="BD3" i="1"/>
  <c r="AX3" i="1"/>
  <c r="L3" i="1"/>
  <c r="BE2" i="1"/>
  <c r="BD2" i="1"/>
  <c r="AX2" i="1"/>
  <c r="L2" i="1"/>
  <c r="BM110" i="1" l="1"/>
  <c r="BO114" i="1"/>
  <c r="BE5" i="1"/>
  <c r="BB26" i="1"/>
  <c r="BB35" i="1"/>
  <c r="BB38" i="1"/>
  <c r="BB41" i="1"/>
  <c r="BB50" i="1"/>
  <c r="BB86" i="1"/>
  <c r="BO110" i="1"/>
  <c r="BM113" i="1"/>
  <c r="BO113" i="1"/>
  <c r="BO109" i="1"/>
  <c r="BI110" i="1"/>
  <c r="BM109" i="1"/>
  <c r="BM112" i="1"/>
  <c r="BO112" i="1"/>
  <c r="BM115" i="1"/>
  <c r="BB46" i="1"/>
  <c r="BB52" i="1"/>
  <c r="BP112" i="1"/>
  <c r="BM111" i="1"/>
  <c r="BO115" i="1"/>
  <c r="BO111" i="1"/>
  <c r="BB71" i="1"/>
  <c r="BB24" i="1"/>
  <c r="BB36" i="1"/>
  <c r="BO107" i="1"/>
  <c r="BB17" i="1"/>
  <c r="BM17" i="1"/>
  <c r="BN17" i="1" s="1"/>
  <c r="BN8" i="1"/>
  <c r="BM108" i="1"/>
  <c r="BO108" i="1"/>
  <c r="BM107" i="1"/>
  <c r="J116" i="1"/>
  <c r="AW116" i="1"/>
  <c r="BH108" i="1"/>
  <c r="BH112" i="1"/>
  <c r="BK112" i="1" s="1"/>
  <c r="BB32" i="1"/>
  <c r="BB44" i="1"/>
  <c r="BB47" i="1"/>
  <c r="BB56" i="1"/>
  <c r="BB59" i="1"/>
  <c r="BB68" i="1"/>
  <c r="BB89" i="1"/>
  <c r="BI115" i="1"/>
  <c r="BI111" i="1"/>
  <c r="BH115" i="1"/>
  <c r="BI107" i="1"/>
  <c r="BH111" i="1"/>
  <c r="BB12" i="1"/>
  <c r="BB15" i="1"/>
  <c r="BB21" i="1"/>
  <c r="N81" i="1"/>
  <c r="BB33" i="1"/>
  <c r="L109" i="1"/>
  <c r="BH107" i="1"/>
  <c r="BI114" i="1"/>
  <c r="BH114" i="1"/>
  <c r="BB63" i="1"/>
  <c r="BH110" i="1"/>
  <c r="BI113" i="1"/>
  <c r="BB13" i="1"/>
  <c r="BI109" i="1"/>
  <c r="BH113" i="1"/>
  <c r="BB28" i="1"/>
  <c r="BB40" i="1"/>
  <c r="BB43" i="1"/>
  <c r="BB55" i="1"/>
  <c r="BB70" i="1"/>
  <c r="BH109" i="1"/>
  <c r="BI108" i="1"/>
  <c r="BI112" i="1"/>
  <c r="BB72" i="1"/>
  <c r="BB78" i="1"/>
  <c r="BB76" i="1"/>
  <c r="BB75" i="1"/>
  <c r="AK116" i="1"/>
  <c r="BD114" i="1"/>
  <c r="BE114" i="1" s="1"/>
  <c r="BB66" i="1"/>
  <c r="BB42" i="1"/>
  <c r="BB37" i="1"/>
  <c r="BB31" i="1"/>
  <c r="BB25" i="1"/>
  <c r="BB20" i="1"/>
  <c r="BB8" i="1"/>
  <c r="BB2" i="1"/>
  <c r="Y116" i="1"/>
  <c r="BB45" i="1"/>
  <c r="BB58" i="1"/>
  <c r="BB27" i="1"/>
  <c r="BB34" i="1"/>
  <c r="BB3" i="1"/>
  <c r="BB14" i="1"/>
  <c r="BB9" i="1"/>
  <c r="BB18" i="1"/>
  <c r="AJ81" i="1"/>
  <c r="AL116" i="1"/>
  <c r="L111" i="1"/>
  <c r="BB84" i="1"/>
  <c r="L101" i="1"/>
  <c r="BD101" i="1"/>
  <c r="N116" i="1"/>
  <c r="AA116" i="1"/>
  <c r="AM116" i="1"/>
  <c r="AE116" i="1"/>
  <c r="BD110" i="1"/>
  <c r="BD112" i="1"/>
  <c r="BE112" i="1" s="1"/>
  <c r="BG112" i="1" s="1"/>
  <c r="AX109" i="1"/>
  <c r="AX5" i="1"/>
  <c r="AX111" i="1"/>
  <c r="BB111" i="1" s="1"/>
  <c r="BE101" i="1"/>
  <c r="O116" i="1"/>
  <c r="AN116" i="1"/>
  <c r="BB29" i="1"/>
  <c r="BB64" i="1"/>
  <c r="AX101" i="1"/>
  <c r="BB90" i="1"/>
  <c r="P116" i="1"/>
  <c r="AC116" i="1"/>
  <c r="AO116" i="1"/>
  <c r="BB19" i="1"/>
  <c r="AX108" i="1"/>
  <c r="BB51" i="1"/>
  <c r="C116" i="1"/>
  <c r="BD109" i="1"/>
  <c r="BB54" i="1"/>
  <c r="L113" i="1"/>
  <c r="BB85" i="1"/>
  <c r="V116" i="1"/>
  <c r="BD108" i="1"/>
  <c r="AX113" i="1"/>
  <c r="AE81" i="1"/>
  <c r="AF116" i="1"/>
  <c r="BD111" i="1"/>
  <c r="BD5" i="1"/>
  <c r="L30" i="1"/>
  <c r="BB30" i="1" s="1"/>
  <c r="BB49" i="1"/>
  <c r="BB57" i="1"/>
  <c r="BB62" i="1"/>
  <c r="BB65" i="1"/>
  <c r="BB98" i="1"/>
  <c r="F116" i="1"/>
  <c r="T116" i="1"/>
  <c r="AG116" i="1"/>
  <c r="AV81" i="1"/>
  <c r="AX110" i="1"/>
  <c r="U116" i="1"/>
  <c r="AH116" i="1"/>
  <c r="AT116" i="1"/>
  <c r="Z116" i="1"/>
  <c r="BB60" i="1"/>
  <c r="H116" i="1"/>
  <c r="K116" i="1"/>
  <c r="L107" i="1"/>
  <c r="BK107" i="1" s="1"/>
  <c r="BC5" i="1"/>
  <c r="BB74" i="1"/>
  <c r="BB77" i="1"/>
  <c r="V81" i="1"/>
  <c r="AU81" i="1"/>
  <c r="X116" i="1"/>
  <c r="AV116" i="1"/>
  <c r="AZ116" i="1"/>
  <c r="BD113" i="1"/>
  <c r="J81" i="1"/>
  <c r="AC81" i="1"/>
  <c r="AK81" i="1"/>
  <c r="BD22" i="1"/>
  <c r="BE22" i="1"/>
  <c r="L22" i="1"/>
  <c r="K81" i="1"/>
  <c r="U81" i="1"/>
  <c r="AD81" i="1"/>
  <c r="AL81" i="1"/>
  <c r="AT81" i="1"/>
  <c r="AD116" i="1"/>
  <c r="D81" i="1"/>
  <c r="O81" i="1"/>
  <c r="X81" i="1"/>
  <c r="AF81" i="1"/>
  <c r="AN81" i="1"/>
  <c r="D116" i="1"/>
  <c r="AX107" i="1"/>
  <c r="E81" i="1"/>
  <c r="P81" i="1"/>
  <c r="Y81" i="1"/>
  <c r="AO81" i="1"/>
  <c r="AW81" i="1"/>
  <c r="BD107" i="1"/>
  <c r="E116" i="1"/>
  <c r="F81" i="1"/>
  <c r="Q81" i="1"/>
  <c r="Z81" i="1"/>
  <c r="AH81" i="1"/>
  <c r="AP81" i="1"/>
  <c r="Q116" i="1"/>
  <c r="AP116" i="1"/>
  <c r="H81" i="1"/>
  <c r="R81" i="1"/>
  <c r="AI81" i="1"/>
  <c r="AQ81" i="1"/>
  <c r="R116" i="1"/>
  <c r="AI116" i="1"/>
  <c r="AQ116" i="1"/>
  <c r="C81" i="1"/>
  <c r="I81" i="1"/>
  <c r="S81" i="1"/>
  <c r="AR81" i="1"/>
  <c r="BB91" i="1"/>
  <c r="BD79" i="1"/>
  <c r="AX115" i="1"/>
  <c r="BB73" i="1"/>
  <c r="BE79" i="1"/>
  <c r="BD115" i="1"/>
  <c r="BE115" i="1" s="1"/>
  <c r="S116" i="1"/>
  <c r="AB116" i="1"/>
  <c r="AJ116" i="1"/>
  <c r="AR116" i="1"/>
  <c r="T81" i="1"/>
  <c r="AS81" i="1"/>
  <c r="L115" i="1"/>
  <c r="I116" i="1"/>
  <c r="BB93" i="1"/>
  <c r="BB92" i="1"/>
  <c r="BB112" i="1"/>
  <c r="G116" i="1"/>
  <c r="BB53" i="1"/>
  <c r="BB95" i="1"/>
  <c r="L110" i="1"/>
  <c r="BP110" i="1" s="1"/>
  <c r="L114" i="1"/>
  <c r="BB11" i="1"/>
  <c r="G79" i="1"/>
  <c r="G81" i="1" s="1"/>
  <c r="AS116" i="1"/>
  <c r="BB39" i="1"/>
  <c r="AX22" i="1"/>
  <c r="AU116" i="1"/>
  <c r="BB87" i="1"/>
  <c r="L5" i="1"/>
  <c r="BB61" i="1"/>
  <c r="AX79" i="1"/>
  <c r="AZ79" i="1"/>
  <c r="AZ81" i="1" s="1"/>
  <c r="BP113" i="1" l="1"/>
  <c r="BP109" i="1"/>
  <c r="BM22" i="1"/>
  <c r="BM81" i="1" s="1"/>
  <c r="BJ114" i="1"/>
  <c r="BE110" i="1"/>
  <c r="BP111" i="1"/>
  <c r="BP115" i="1"/>
  <c r="BK115" i="1"/>
  <c r="BP114" i="1"/>
  <c r="BK114" i="1"/>
  <c r="BK109" i="1"/>
  <c r="BO116" i="1"/>
  <c r="BN12" i="1"/>
  <c r="BN22" i="1" s="1"/>
  <c r="BN81" i="1" s="1"/>
  <c r="BP107" i="1"/>
  <c r="BM116" i="1"/>
  <c r="BJ113" i="1"/>
  <c r="BK113" i="1"/>
  <c r="BJ111" i="1"/>
  <c r="BK111" i="1"/>
  <c r="BJ110" i="1"/>
  <c r="BK110" i="1"/>
  <c r="BH116" i="1"/>
  <c r="BJ107" i="1"/>
  <c r="BJ112" i="1"/>
  <c r="BI116" i="1"/>
  <c r="BJ108" i="1"/>
  <c r="BB113" i="1"/>
  <c r="BJ115" i="1"/>
  <c r="BJ109" i="1"/>
  <c r="BB5" i="1"/>
  <c r="BE109" i="1"/>
  <c r="BG109" i="1" s="1"/>
  <c r="AX116" i="1"/>
  <c r="BB22" i="1"/>
  <c r="BB107" i="1"/>
  <c r="L79" i="1"/>
  <c r="L81" i="1" s="1"/>
  <c r="BE113" i="1"/>
  <c r="BG113" i="1" s="1"/>
  <c r="BE107" i="1"/>
  <c r="BD81" i="1"/>
  <c r="L108" i="1"/>
  <c r="BP108" i="1" s="1"/>
  <c r="BE108" i="1"/>
  <c r="BE111" i="1"/>
  <c r="BG111" i="1" s="1"/>
  <c r="BB109" i="1"/>
  <c r="BB79" i="1"/>
  <c r="BD116" i="1"/>
  <c r="AX81" i="1"/>
  <c r="BE81" i="1"/>
  <c r="BB101" i="1"/>
  <c r="BG115" i="1"/>
  <c r="BB115" i="1"/>
  <c r="BG114" i="1"/>
  <c r="BB114" i="1"/>
  <c r="BG110" i="1"/>
  <c r="BB110" i="1"/>
  <c r="L116" i="1" l="1"/>
  <c r="BK116" i="1" s="1"/>
  <c r="BK108" i="1"/>
  <c r="BP116" i="1"/>
  <c r="BJ116" i="1"/>
  <c r="BB81" i="1"/>
  <c r="BE116" i="1"/>
  <c r="BG107" i="1"/>
  <c r="BB108" i="1"/>
  <c r="BB116" i="1" s="1"/>
  <c r="BG108" i="1"/>
  <c r="BB103" i="1" l="1"/>
  <c r="BB104" i="1"/>
  <c r="BG116" i="1"/>
</calcChain>
</file>

<file path=xl/sharedStrings.xml><?xml version="1.0" encoding="utf-8"?>
<sst xmlns="http://schemas.openxmlformats.org/spreadsheetml/2006/main" count="223" uniqueCount="220">
  <si>
    <t>FY21
100
CEO</t>
  </si>
  <si>
    <t>FY21
105
Administration</t>
  </si>
  <si>
    <t>FY21
110
Board</t>
  </si>
  <si>
    <t>FY21
120
Finance</t>
  </si>
  <si>
    <t>FY21
130
Planning</t>
  </si>
  <si>
    <t>FY21
140
C&amp;M</t>
  </si>
  <si>
    <t>FY21
150
Transit Management</t>
  </si>
  <si>
    <t>FY21
170
Human Resources</t>
  </si>
  <si>
    <t>FY21
180
Information Technology</t>
  </si>
  <si>
    <t>TOTAL
FY21
G&amp;A</t>
  </si>
  <si>
    <t>FY21
200
UNT</t>
  </si>
  <si>
    <t>FY21
701
NTMC UNT</t>
  </si>
  <si>
    <t>FY21
210
NCTC</t>
  </si>
  <si>
    <t>FY21
702
NTMC NCTC</t>
  </si>
  <si>
    <t>FY21
220
Frisco</t>
  </si>
  <si>
    <t>FY21
703
NTMC Frisco</t>
  </si>
  <si>
    <t>FY21
230
CCT</t>
  </si>
  <si>
    <t>FY21
704
NTMC CCT</t>
  </si>
  <si>
    <t>FY21
240
MaaS</t>
  </si>
  <si>
    <t>FY21
505
Bus Ops 
Mgmt</t>
  </si>
  <si>
    <t>FY21
510
Fixed 
Route</t>
  </si>
  <si>
    <t>FY21
511
Denton
Fixed Route</t>
  </si>
  <si>
    <t>FY21
711
NTMC Denton
Fixed Route</t>
  </si>
  <si>
    <t>FY21
512
Highland Village
Fixed Route</t>
  </si>
  <si>
    <t>FY21
712
NTMC Highland Village
Fixed Route</t>
  </si>
  <si>
    <t>FY21
513
Lewisville
Fixed Route</t>
  </si>
  <si>
    <t>FY21
713
NTMC Lewisville
Fixed Route</t>
  </si>
  <si>
    <t>FY21
530
Demand Response</t>
  </si>
  <si>
    <t>FY21
730
NTMC Demand Response</t>
  </si>
  <si>
    <t>FY21
531
Denton
Demand Response</t>
  </si>
  <si>
    <t>FY21
731
NTMC Denton
Demand Response</t>
  </si>
  <si>
    <t>FY21
532
HV
Demand Response</t>
  </si>
  <si>
    <t>FY21
732
NTMC HV
Demand Response</t>
  </si>
  <si>
    <t>FY21
533
Lewisville
Demand Response</t>
  </si>
  <si>
    <t>FY21
733
NTMC Lewisville
Demand Response</t>
  </si>
  <si>
    <t>FY21
540
NTX</t>
  </si>
  <si>
    <t>FY21
740
NTMC NTX</t>
  </si>
  <si>
    <t>FY21
570
Customer Service</t>
  </si>
  <si>
    <t>FY21
770
NTMC Customer Service</t>
  </si>
  <si>
    <t>FY21
580
S&amp;D</t>
  </si>
  <si>
    <t>FY21
780
NTMC S&amp;D</t>
  </si>
  <si>
    <t>FY21
590
Maintenance</t>
  </si>
  <si>
    <t>FY21
790
NTMC Maintenance</t>
  </si>
  <si>
    <t>TOTAL 
FY21
Rail 
Services</t>
  </si>
  <si>
    <t>TOTAL FY21 DCTA 
BUS SERVICES</t>
  </si>
  <si>
    <t>TOTAL FY21 NTMC
BUS SERVICES</t>
  </si>
  <si>
    <t>Passenger Revenue (Farebox)</t>
  </si>
  <si>
    <t>Contract Revenue</t>
  </si>
  <si>
    <t>TOTAL OPERATING REVENUES</t>
  </si>
  <si>
    <t>Operating Expenses</t>
  </si>
  <si>
    <t>Training</t>
  </si>
  <si>
    <t>Paid Time Off</t>
  </si>
  <si>
    <t>ER Medicare &amp; Social Security</t>
  </si>
  <si>
    <t>ER Match - Retirement</t>
  </si>
  <si>
    <t>Health Insurance</t>
  </si>
  <si>
    <t>SUTA</t>
  </si>
  <si>
    <t>FUTA</t>
  </si>
  <si>
    <t>Life &amp; Disability Insurance</t>
  </si>
  <si>
    <t>Vision</t>
  </si>
  <si>
    <t>Vehicle Allowance</t>
  </si>
  <si>
    <t>Cell Phone Allowance</t>
  </si>
  <si>
    <t>Dental</t>
  </si>
  <si>
    <t>TOTAL SALARY &amp; BENEFITS</t>
  </si>
  <si>
    <t>Management Services</t>
  </si>
  <si>
    <t>Advertising</t>
  </si>
  <si>
    <t>Towing</t>
  </si>
  <si>
    <t>Uniforms</t>
  </si>
  <si>
    <t>Service Fees</t>
  </si>
  <si>
    <t>Credit Card Clearing Fees</t>
  </si>
  <si>
    <t>Professional Services</t>
  </si>
  <si>
    <t>General Services</t>
  </si>
  <si>
    <t>Printing</t>
  </si>
  <si>
    <t>Community Involvement</t>
  </si>
  <si>
    <t>Computer &amp; Software Maintenance</t>
  </si>
  <si>
    <t>Legal Fees</t>
  </si>
  <si>
    <t>3rd Party Maintenance</t>
  </si>
  <si>
    <t>Passenger Amenities Maintenance</t>
  </si>
  <si>
    <t>Facilities Maintenance</t>
  </si>
  <si>
    <t>Fuel</t>
  </si>
  <si>
    <t>Small Tools, Safety &amp; Supplies</t>
  </si>
  <si>
    <t>Promotional Supplies</t>
  </si>
  <si>
    <t>Office Supplies</t>
  </si>
  <si>
    <t>Furniture</t>
  </si>
  <si>
    <t>Computer &amp; Software Supplies</t>
  </si>
  <si>
    <t>Postage</t>
  </si>
  <si>
    <t>Tires</t>
  </si>
  <si>
    <t>Parts</t>
  </si>
  <si>
    <t>Fluids</t>
  </si>
  <si>
    <t>Water</t>
  </si>
  <si>
    <t>Electricity</t>
  </si>
  <si>
    <t>Other Communications</t>
  </si>
  <si>
    <t>General Liability Insurance</t>
  </si>
  <si>
    <t>Property Damage Insurance</t>
  </si>
  <si>
    <t>Vehicle Insurance</t>
  </si>
  <si>
    <t>Crime Liability Insurance</t>
  </si>
  <si>
    <t>Errors &amp; Omission Liability</t>
  </si>
  <si>
    <t>Workers Compensation Insurance</t>
  </si>
  <si>
    <t>Auto Liability</t>
  </si>
  <si>
    <t>Pollution Liability Coverage</t>
  </si>
  <si>
    <t>Purchased Transportation</t>
  </si>
  <si>
    <t>Dues &amp; Subscriptions</t>
  </si>
  <si>
    <t>Registration Fees</t>
  </si>
  <si>
    <t>Travel</t>
  </si>
  <si>
    <t>Mileage Reimbursement</t>
  </si>
  <si>
    <t>Meals - Non Travel</t>
  </si>
  <si>
    <t>Contingency</t>
  </si>
  <si>
    <t>Training &amp; Development</t>
  </si>
  <si>
    <t>Operating Leases</t>
  </si>
  <si>
    <t>Depreciation - Rail O&amp;M</t>
  </si>
  <si>
    <t>Depreciation - Land Improvements</t>
  </si>
  <si>
    <t>Depreciation - Leasehold Improve</t>
  </si>
  <si>
    <t>Depreciation - FF&amp;E</t>
  </si>
  <si>
    <t>Depreciation - Computer &amp; Software</t>
  </si>
  <si>
    <t>Depreciation - Vehicles</t>
  </si>
  <si>
    <t>Depreciation - Rail Assets</t>
  </si>
  <si>
    <t>Depreciation - Rail Assets ROW</t>
  </si>
  <si>
    <t>TOTAL OPERATING (LESS SALARY &amp; BENEFITS)</t>
  </si>
  <si>
    <t>TOTAL FY21 OPERATING EXPENSES</t>
  </si>
  <si>
    <t>Non-Operating Revenue (Expense)</t>
  </si>
  <si>
    <t>Investment Income</t>
  </si>
  <si>
    <t>Fare Evasion Fee</t>
  </si>
  <si>
    <t>Misc Revenue</t>
  </si>
  <si>
    <t>Refunds &amp; Reimbursements</t>
  </si>
  <si>
    <t>2008 Refunded Prepay Penalty</t>
  </si>
  <si>
    <t>2009 Series Bonds Interest Exp</t>
  </si>
  <si>
    <t>2009 Cost of Debt Issuance Expense</t>
  </si>
  <si>
    <t>2011 Series CO Interest Exp</t>
  </si>
  <si>
    <t>2011 Series CO Cost of Issue</t>
  </si>
  <si>
    <t>2013 Series</t>
  </si>
  <si>
    <t>Sales Tax Revenue</t>
  </si>
  <si>
    <t>Federal Operating Grant</t>
  </si>
  <si>
    <t>Federal Capital Grant</t>
  </si>
  <si>
    <t>State Operating Grant</t>
  </si>
  <si>
    <t>State Capital Grant</t>
  </si>
  <si>
    <t>TOTAL NON-OPERATING REVENUES / (EXPENSES)</t>
  </si>
  <si>
    <t>Net Income</t>
  </si>
  <si>
    <t>Net Income (Less Depreciation)</t>
  </si>
  <si>
    <t>BUS OPERATIONS ONLY</t>
  </si>
  <si>
    <t>TOTAL</t>
  </si>
  <si>
    <t>TOTAL 
FY21 
NTMC 
Budget</t>
  </si>
  <si>
    <t>TOTAL 
FY21 
DCTA BUS 
Budget</t>
  </si>
  <si>
    <t>TOTAL
FY21
DCTA
BUDGET</t>
  </si>
  <si>
    <t>Salary &amp; Benefits</t>
  </si>
  <si>
    <t>Utilities</t>
  </si>
  <si>
    <t>Insurance</t>
  </si>
  <si>
    <t>Employee Development</t>
  </si>
  <si>
    <t>Leases</t>
  </si>
  <si>
    <t>Depreciation</t>
  </si>
  <si>
    <t xml:space="preserve">STAFF: </t>
  </si>
  <si>
    <t>CEO</t>
  </si>
  <si>
    <t>Exec Asst./ Ofc Coord</t>
  </si>
  <si>
    <t>N/A</t>
  </si>
  <si>
    <t>Chief Financial Officer</t>
  </si>
  <si>
    <t>Deputy CEO</t>
  </si>
  <si>
    <t>VP Marketing &amp; Administration</t>
  </si>
  <si>
    <t>VP, Operations</t>
  </si>
  <si>
    <t>Human Resources Manager</t>
  </si>
  <si>
    <t>Director of IT</t>
  </si>
  <si>
    <t>Manager of Bus Administration</t>
  </si>
  <si>
    <t>AVP, Rail Operations</t>
  </si>
  <si>
    <t>Receptionist</t>
  </si>
  <si>
    <t>AVP of Regulatory Compliance</t>
  </si>
  <si>
    <t>Director of Strategic Partnerships</t>
  </si>
  <si>
    <t>Intern</t>
  </si>
  <si>
    <t>Network Administrator</t>
  </si>
  <si>
    <t>Manager of Mobility Services</t>
  </si>
  <si>
    <t>Project Controls Coordinator</t>
  </si>
  <si>
    <t>Controller</t>
  </si>
  <si>
    <t>Director of Capital Development</t>
  </si>
  <si>
    <t>Community Relations Manager</t>
  </si>
  <si>
    <t>Desktop &amp; Application Support Specialist</t>
  </si>
  <si>
    <t>Director of Bus Operations &amp; Maintenance</t>
  </si>
  <si>
    <t>Senior Manager of Rail Operations</t>
  </si>
  <si>
    <t>Director of Procurement</t>
  </si>
  <si>
    <t>Senior Regional Planner</t>
  </si>
  <si>
    <t>Senior Manager of Marketing &amp; Communications</t>
  </si>
  <si>
    <t>Operations Analyst</t>
  </si>
  <si>
    <t>Director of Railway Systems</t>
  </si>
  <si>
    <t>Senior Accountant</t>
  </si>
  <si>
    <t>Project Management Specialist</t>
  </si>
  <si>
    <t>Marketing Coordinator</t>
  </si>
  <si>
    <t xml:space="preserve">Accountant </t>
  </si>
  <si>
    <t>Executive Administrator</t>
  </si>
  <si>
    <t>Communications Coordinator</t>
  </si>
  <si>
    <t>Service Planner</t>
  </si>
  <si>
    <t>Financial Analyst</t>
  </si>
  <si>
    <t>Community Relations Coordinator</t>
  </si>
  <si>
    <t>Intern (Bus Ops)</t>
  </si>
  <si>
    <t>Senior Manager of Budget</t>
  </si>
  <si>
    <t>Mobility Coordinator</t>
  </si>
  <si>
    <t>Grants Manager</t>
  </si>
  <si>
    <t>Procurement Specialist</t>
  </si>
  <si>
    <t>Other Miscellaneous</t>
  </si>
  <si>
    <t>Data &amp; Phone Circuits</t>
  </si>
  <si>
    <t>Outsourced Services &amp; Charges</t>
  </si>
  <si>
    <t>Materials &amp; Supplies</t>
  </si>
  <si>
    <t>Salary &amp; Wages - Regular</t>
  </si>
  <si>
    <t>Salary &amp; Wages - Overtime</t>
  </si>
  <si>
    <t>FY21
500
Bus Service 
Admin</t>
  </si>
  <si>
    <t>FY21
700
NTMC Bus Service 
Admin</t>
  </si>
  <si>
    <t>Account
Number</t>
  </si>
  <si>
    <t>Account Description</t>
  </si>
  <si>
    <t>TOTAL
FY21
Bus
Services
(DCTA + NTMC)</t>
  </si>
  <si>
    <t>AUGUST ADJUSTMENTS MADE:</t>
  </si>
  <si>
    <t>SunGard Upgrade Rollover</t>
  </si>
  <si>
    <t>FY21
705
NTMC MaaS</t>
  </si>
  <si>
    <t>TOTAL
FY21
DCTA Bus</t>
  </si>
  <si>
    <t>TOTAL
FY21
NTMC Bus</t>
  </si>
  <si>
    <t>TOTAL 
Bus Services</t>
  </si>
  <si>
    <t>GRAND TOTAL</t>
  </si>
  <si>
    <t>TOTAL DCTA (ALL)</t>
  </si>
  <si>
    <t>TOTAL
FY21
Bus
Services
(DCTA Only)</t>
  </si>
  <si>
    <t>TOTAL
FY21
Bus
Services
(NTMC Only)</t>
  </si>
  <si>
    <t xml:space="preserve">TOTAL
FY21
DCTA </t>
  </si>
  <si>
    <t>TOTAL 
FY21
505</t>
  </si>
  <si>
    <t>TOTAL
FY21
Bus
Services
(Less 505)
(DCTA + NTMC)</t>
  </si>
  <si>
    <t>TOTAL FY22
BUS 
ESCALATED</t>
  </si>
  <si>
    <t>BUS</t>
  </si>
  <si>
    <t>DCTA</t>
  </si>
  <si>
    <t>TOTAL 
FY21 
Adopted
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</si>
</sst>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genda"/>
    </font>
    <font>
      <sz val="10"/>
      <color theme="1"/>
      <name val="Agenda"/>
    </font>
    <font>
      <b/>
      <sz val="9"/>
      <color theme="0"/>
      <name val="Agenda"/>
    </font>
    <font>
      <i/>
      <sz val="10"/>
      <color theme="1"/>
      <name val="Agenda"/>
    </font>
    <font>
      <b/>
      <sz val="10"/>
      <color theme="1"/>
      <name val="Agenda"/>
    </font>
    <font>
      <u/>
      <sz val="10"/>
      <color theme="1"/>
      <name val="Agenda"/>
    </font>
    <font>
      <sz val="9"/>
      <name val="Agenda"/>
    </font>
    <font>
      <sz val="9"/>
      <color theme="1"/>
      <name val="Agenda"/>
    </font>
    <font>
      <b/>
      <u/>
      <sz val="10"/>
      <color theme="1"/>
      <name val="Agenda"/>
    </font>
    <font>
      <b/>
      <i/>
      <sz val="10"/>
      <color theme="1"/>
      <name val="Agenda"/>
    </font>
    <font>
      <i/>
      <sz val="10"/>
      <color theme="0"/>
      <name val="Agenda"/>
    </font>
    <font>
      <i/>
      <sz val="9"/>
      <color theme="1"/>
      <name val="Agenda"/>
    </font>
    <font>
      <i/>
      <sz val="10"/>
      <color rgb="FFFF0000"/>
      <name val="Agenda"/>
    </font>
    <font>
      <sz val="10"/>
      <color theme="0"/>
      <name val="Agenda"/>
    </font>
    <font>
      <sz val="22"/>
      <color theme="1"/>
      <name val="Agenda"/>
    </font>
    <font>
      <b/>
      <i/>
      <sz val="9"/>
      <color theme="0"/>
      <name val="Agenda"/>
    </font>
    <font>
      <b/>
      <i/>
      <sz val="10"/>
      <color theme="0"/>
      <name val="Agenda"/>
    </font>
  </fonts>
  <fills count="12">
    <fill>
      <patternFill patternType="none"/>
    </fill>
    <fill>
      <patternFill patternType="gray125"/>
    </fill>
    <fill>
      <patternFill patternType="solid">
        <fgColor rgb="FF1E384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0AFDF"/>
        <bgColor indexed="64"/>
      </patternFill>
    </fill>
    <fill>
      <patternFill patternType="solid">
        <fgColor rgb="FFD9E8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1E384B"/>
      </left>
      <right/>
      <top/>
      <bottom/>
      <diagonal/>
    </border>
    <border>
      <left/>
      <right style="thin">
        <color rgb="FF1E384B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1E384B"/>
      </left>
      <right/>
      <top/>
      <bottom style="thin">
        <color auto="1"/>
      </bottom>
      <diagonal/>
    </border>
    <border>
      <left/>
      <right style="thin">
        <color rgb="FF1E384B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1E384B"/>
      </bottom>
      <diagonal/>
    </border>
    <border>
      <left style="thin">
        <color rgb="FF1E384B"/>
      </left>
      <right style="thin">
        <color rgb="FF1E384B"/>
      </right>
      <top style="thin">
        <color rgb="FF1E384B"/>
      </top>
      <bottom/>
      <diagonal/>
    </border>
    <border>
      <left style="thin">
        <color rgb="FF1E384B"/>
      </left>
      <right style="thin">
        <color rgb="FF1E384B"/>
      </right>
      <top/>
      <bottom/>
      <diagonal/>
    </border>
    <border>
      <left style="thin">
        <color rgb="FF1E384B"/>
      </left>
      <right style="thin">
        <color rgb="FF1E384B"/>
      </right>
      <top/>
      <bottom style="thin">
        <color rgb="FF1E384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164" fontId="3" fillId="0" borderId="3" xfId="0" applyNumberFormat="1" applyFont="1" applyBorder="1"/>
    <xf numFmtId="0" fontId="5" fillId="7" borderId="0" xfId="0" applyFont="1" applyFill="1" applyAlignment="1">
      <alignment horizontal="center" wrapText="1"/>
    </xf>
    <xf numFmtId="164" fontId="5" fillId="7" borderId="0" xfId="1" applyNumberFormat="1" applyFont="1" applyFill="1"/>
    <xf numFmtId="164" fontId="5" fillId="0" borderId="0" xfId="1" applyNumberFormat="1" applyFont="1"/>
    <xf numFmtId="0" fontId="5" fillId="0" borderId="0" xfId="0" applyFont="1"/>
    <xf numFmtId="0" fontId="2" fillId="2" borderId="0" xfId="0" applyFont="1" applyFill="1" applyAlignment="1">
      <alignment horizontal="center" wrapText="1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44" fontId="3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9" fillId="0" borderId="0" xfId="1" applyNumberFormat="1" applyFont="1"/>
    <xf numFmtId="0" fontId="9" fillId="0" borderId="0" xfId="0" applyFont="1" applyAlignment="1">
      <alignment horizontal="center"/>
    </xf>
    <xf numFmtId="44" fontId="6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11" fillId="0" borderId="0" xfId="1" applyNumberFormat="1" applyFont="1"/>
    <xf numFmtId="0" fontId="12" fillId="2" borderId="0" xfId="0" applyFont="1" applyFill="1" applyAlignment="1">
      <alignment horizontal="center"/>
    </xf>
    <xf numFmtId="164" fontId="12" fillId="2" borderId="0" xfId="1" applyNumberFormat="1" applyFont="1" applyFill="1"/>
    <xf numFmtId="164" fontId="12" fillId="0" borderId="0" xfId="1" applyNumberFormat="1" applyFont="1"/>
    <xf numFmtId="164" fontId="12" fillId="2" borderId="0" xfId="0" applyNumberFormat="1" applyFont="1" applyFill="1"/>
    <xf numFmtId="164" fontId="12" fillId="0" borderId="0" xfId="0" applyNumberFormat="1" applyFont="1"/>
    <xf numFmtId="0" fontId="13" fillId="0" borderId="0" xfId="0" applyFont="1"/>
    <xf numFmtId="164" fontId="9" fillId="0" borderId="0" xfId="0" applyNumberFormat="1" applyFont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1" applyFont="1"/>
    <xf numFmtId="164" fontId="11" fillId="0" borderId="0" xfId="0" applyNumberFormat="1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5" fillId="7" borderId="0" xfId="0" applyFont="1" applyFill="1" applyAlignment="1">
      <alignment horizontal="center"/>
    </xf>
    <xf numFmtId="164" fontId="15" fillId="0" borderId="0" xfId="1" applyNumberFormat="1" applyFont="1"/>
    <xf numFmtId="0" fontId="3" fillId="0" borderId="0" xfId="0" applyFont="1" applyAlignment="1">
      <alignment horizontal="center" vertical="center"/>
    </xf>
    <xf numFmtId="0" fontId="5" fillId="7" borderId="0" xfId="0" applyFont="1" applyFill="1" applyAlignment="1">
      <alignment horizontal="right"/>
    </xf>
    <xf numFmtId="164" fontId="3" fillId="0" borderId="0" xfId="1" applyNumberFormat="1" applyFont="1" applyAlignment="1">
      <alignment horizontal="center" wrapText="1"/>
    </xf>
    <xf numFmtId="164" fontId="3" fillId="0" borderId="8" xfId="1" applyNumberFormat="1" applyFont="1" applyBorder="1" applyAlignment="1">
      <alignment horizontal="center" wrapText="1"/>
    </xf>
    <xf numFmtId="164" fontId="3" fillId="0" borderId="9" xfId="1" applyNumberFormat="1" applyFont="1" applyBorder="1"/>
    <xf numFmtId="164" fontId="3" fillId="0" borderId="10" xfId="1" applyNumberFormat="1" applyFont="1" applyBorder="1"/>
    <xf numFmtId="0" fontId="16" fillId="0" borderId="1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13" xfId="0" applyFont="1" applyBorder="1"/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3" fillId="0" borderId="14" xfId="0" applyNumberFormat="1" applyFont="1" applyBorder="1"/>
    <xf numFmtId="0" fontId="3" fillId="0" borderId="15" xfId="0" applyFont="1" applyBorder="1"/>
    <xf numFmtId="164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wrapText="1"/>
    </xf>
    <xf numFmtId="164" fontId="3" fillId="0" borderId="16" xfId="0" applyNumberFormat="1" applyFont="1" applyBorder="1"/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 applyFill="1"/>
    <xf numFmtId="42" fontId="3" fillId="0" borderId="0" xfId="1" applyNumberFormat="1" applyFont="1"/>
    <xf numFmtId="42" fontId="5" fillId="7" borderId="0" xfId="1" applyNumberFormat="1" applyFont="1" applyFill="1"/>
    <xf numFmtId="42" fontId="2" fillId="2" borderId="0" xfId="1" applyNumberFormat="1" applyFont="1" applyFill="1" applyAlignment="1">
      <alignment horizontal="center"/>
    </xf>
    <xf numFmtId="42" fontId="12" fillId="2" borderId="0" xfId="1" applyNumberFormat="1" applyFont="1" applyFill="1"/>
    <xf numFmtId="42" fontId="3" fillId="3" borderId="0" xfId="1" applyNumberFormat="1" applyFont="1" applyFill="1"/>
    <xf numFmtId="42" fontId="3" fillId="4" borderId="1" xfId="1" applyNumberFormat="1" applyFont="1" applyFill="1" applyBorder="1"/>
    <xf numFmtId="42" fontId="3" fillId="4" borderId="0" xfId="1" applyNumberFormat="1" applyFont="1" applyFill="1"/>
    <xf numFmtId="42" fontId="3" fillId="6" borderId="0" xfId="1" applyNumberFormat="1" applyFont="1" applyFill="1"/>
    <xf numFmtId="42" fontId="3" fillId="0" borderId="0" xfId="0" applyNumberFormat="1" applyFont="1"/>
    <xf numFmtId="42" fontId="3" fillId="0" borderId="3" xfId="1" applyNumberFormat="1" applyFont="1" applyBorder="1"/>
    <xf numFmtId="42" fontId="3" fillId="3" borderId="3" xfId="1" applyNumberFormat="1" applyFont="1" applyFill="1" applyBorder="1"/>
    <xf numFmtId="42" fontId="3" fillId="4" borderId="3" xfId="1" applyNumberFormat="1" applyFont="1" applyFill="1" applyBorder="1"/>
    <xf numFmtId="42" fontId="3" fillId="6" borderId="3" xfId="1" applyNumberFormat="1" applyFont="1" applyFill="1" applyBorder="1"/>
    <xf numFmtId="42" fontId="3" fillId="0" borderId="3" xfId="0" applyNumberFormat="1" applyFont="1" applyBorder="1"/>
    <xf numFmtId="42" fontId="5" fillId="0" borderId="0" xfId="1" applyNumberFormat="1" applyFont="1"/>
    <xf numFmtId="42" fontId="5" fillId="7" borderId="1" xfId="1" applyNumberFormat="1" applyFont="1" applyFill="1" applyBorder="1"/>
    <xf numFmtId="42" fontId="5" fillId="7" borderId="2" xfId="1" applyNumberFormat="1" applyFont="1" applyFill="1" applyBorder="1"/>
    <xf numFmtId="42" fontId="3" fillId="0" borderId="1" xfId="1" applyNumberFormat="1" applyFont="1" applyBorder="1"/>
    <xf numFmtId="42" fontId="3" fillId="0" borderId="2" xfId="1" applyNumberFormat="1" applyFont="1" applyBorder="1"/>
    <xf numFmtId="42" fontId="2" fillId="0" borderId="0" xfId="1" applyNumberFormat="1" applyFont="1" applyAlignment="1">
      <alignment horizontal="center"/>
    </xf>
    <xf numFmtId="42" fontId="2" fillId="2" borderId="1" xfId="1" applyNumberFormat="1" applyFont="1" applyFill="1" applyBorder="1" applyAlignment="1">
      <alignment horizontal="center"/>
    </xf>
    <xf numFmtId="42" fontId="2" fillId="2" borderId="2" xfId="1" applyNumberFormat="1" applyFont="1" applyFill="1" applyBorder="1" applyAlignment="1">
      <alignment horizontal="center"/>
    </xf>
    <xf numFmtId="42" fontId="12" fillId="0" borderId="0" xfId="1" applyNumberFormat="1" applyFont="1"/>
    <xf numFmtId="42" fontId="12" fillId="2" borderId="1" xfId="1" applyNumberFormat="1" applyFont="1" applyFill="1" applyBorder="1"/>
    <xf numFmtId="42" fontId="12" fillId="2" borderId="2" xfId="1" applyNumberFormat="1" applyFont="1" applyFill="1" applyBorder="1"/>
    <xf numFmtId="42" fontId="12" fillId="2" borderId="0" xfId="0" applyNumberFormat="1" applyFont="1" applyFill="1"/>
    <xf numFmtId="42" fontId="3" fillId="3" borderId="0" xfId="0" applyNumberFormat="1" applyFont="1" applyFill="1"/>
    <xf numFmtId="42" fontId="11" fillId="0" borderId="0" xfId="1" applyNumberFormat="1" applyFont="1"/>
    <xf numFmtId="42" fontId="5" fillId="0" borderId="0" xfId="1" applyNumberFormat="1" applyFont="1" applyFill="1"/>
    <xf numFmtId="42" fontId="15" fillId="2" borderId="0" xfId="1" applyNumberFormat="1" applyFont="1" applyFill="1"/>
    <xf numFmtId="42" fontId="15" fillId="0" borderId="0" xfId="1" applyNumberFormat="1" applyFont="1"/>
    <xf numFmtId="42" fontId="3" fillId="0" borderId="0" xfId="1" applyNumberFormat="1" applyFont="1" applyAlignment="1">
      <alignment horizontal="right"/>
    </xf>
    <xf numFmtId="42" fontId="3" fillId="0" borderId="0" xfId="1" applyNumberFormat="1" applyFont="1" applyAlignment="1">
      <alignment horizontal="center" wrapText="1"/>
    </xf>
    <xf numFmtId="42" fontId="3" fillId="8" borderId="0" xfId="1" applyNumberFormat="1" applyFont="1" applyFill="1"/>
    <xf numFmtId="42" fontId="3" fillId="5" borderId="1" xfId="1" applyNumberFormat="1" applyFont="1" applyFill="1" applyBorder="1"/>
    <xf numFmtId="42" fontId="3" fillId="5" borderId="4" xfId="1" applyNumberFormat="1" applyFont="1" applyFill="1" applyBorder="1"/>
    <xf numFmtId="42" fontId="3" fillId="0" borderId="0" xfId="1" applyNumberFormat="1" applyFont="1" applyFill="1"/>
    <xf numFmtId="42" fontId="3" fillId="0" borderId="3" xfId="1" applyNumberFormat="1" applyFont="1" applyFill="1" applyBorder="1"/>
    <xf numFmtId="42" fontId="3" fillId="3" borderId="2" xfId="1" applyNumberFormat="1" applyFont="1" applyFill="1" applyBorder="1"/>
    <xf numFmtId="42" fontId="3" fillId="3" borderId="5" xfId="1" applyNumberFormat="1" applyFont="1" applyFill="1" applyBorder="1"/>
    <xf numFmtId="42" fontId="3" fillId="0" borderId="2" xfId="1" applyNumberFormat="1" applyFont="1" applyFill="1" applyBorder="1"/>
    <xf numFmtId="42" fontId="3" fillId="0" borderId="5" xfId="1" applyNumberFormat="1" applyFont="1" applyFill="1" applyBorder="1"/>
    <xf numFmtId="42" fontId="3" fillId="0" borderId="0" xfId="0" applyNumberFormat="1" applyFont="1" applyFill="1"/>
    <xf numFmtId="0" fontId="2" fillId="2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/>
    </xf>
    <xf numFmtId="0" fontId="3" fillId="0" borderId="3" xfId="0" applyFont="1" applyBorder="1" applyAlignment="1">
      <alignment horizontal="right"/>
    </xf>
    <xf numFmtId="164" fontId="17" fillId="2" borderId="0" xfId="0" applyNumberFormat="1" applyFont="1" applyFill="1" applyAlignment="1">
      <alignment horizontal="center" wrapText="1"/>
    </xf>
    <xf numFmtId="164" fontId="5" fillId="0" borderId="0" xfId="0" applyNumberFormat="1" applyFont="1"/>
    <xf numFmtId="164" fontId="5" fillId="0" borderId="3" xfId="0" applyNumberFormat="1" applyFont="1" applyBorder="1"/>
    <xf numFmtId="164" fontId="18" fillId="2" borderId="0" xfId="1" applyNumberFormat="1" applyFont="1" applyFill="1" applyAlignment="1">
      <alignment horizontal="center"/>
    </xf>
    <xf numFmtId="164" fontId="5" fillId="0" borderId="8" xfId="1" applyNumberFormat="1" applyFont="1" applyBorder="1" applyAlignment="1">
      <alignment horizontal="center" wrapText="1"/>
    </xf>
    <xf numFmtId="164" fontId="5" fillId="0" borderId="9" xfId="1" applyNumberFormat="1" applyFont="1" applyBorder="1"/>
    <xf numFmtId="164" fontId="5" fillId="0" borderId="10" xfId="1" applyNumberFormat="1" applyFont="1" applyBorder="1"/>
    <xf numFmtId="164" fontId="5" fillId="0" borderId="0" xfId="0" applyNumberFormat="1" applyFont="1" applyAlignment="1">
      <alignment horizontal="center" vertical="center"/>
    </xf>
    <xf numFmtId="0" fontId="3" fillId="0" borderId="0" xfId="0" applyNumberFormat="1" applyFont="1"/>
    <xf numFmtId="0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/>
    <xf numFmtId="0" fontId="13" fillId="0" borderId="0" xfId="0" applyNumberFormat="1" applyFont="1"/>
    <xf numFmtId="42" fontId="3" fillId="9" borderId="0" xfId="1" applyNumberFormat="1" applyFont="1" applyFill="1"/>
    <xf numFmtId="42" fontId="3" fillId="9" borderId="3" xfId="1" applyNumberFormat="1" applyFont="1" applyFill="1" applyBorder="1"/>
    <xf numFmtId="42" fontId="3" fillId="9" borderId="2" xfId="1" applyNumberFormat="1" applyFont="1" applyFill="1" applyBorder="1"/>
    <xf numFmtId="0" fontId="3" fillId="0" borderId="0" xfId="0" applyFont="1" applyAlignment="1">
      <alignment horizontal="center" wrapText="1"/>
    </xf>
    <xf numFmtId="164" fontId="11" fillId="0" borderId="0" xfId="1" applyNumberFormat="1" applyFont="1" applyFill="1"/>
    <xf numFmtId="0" fontId="3" fillId="0" borderId="0" xfId="0" applyFont="1" applyAlignment="1">
      <alignment horizontal="center"/>
    </xf>
    <xf numFmtId="10" fontId="3" fillId="0" borderId="0" xfId="2" applyNumberFormat="1" applyFont="1"/>
    <xf numFmtId="10" fontId="5" fillId="0" borderId="0" xfId="2" applyNumberFormat="1" applyFont="1"/>
    <xf numFmtId="10" fontId="6" fillId="0" borderId="0" xfId="2" applyNumberFormat="1" applyFont="1" applyAlignment="1">
      <alignment horizontal="center"/>
    </xf>
    <xf numFmtId="10" fontId="6" fillId="0" borderId="0" xfId="2" applyNumberFormat="1" applyFont="1"/>
    <xf numFmtId="10" fontId="10" fillId="0" borderId="0" xfId="2" applyNumberFormat="1" applyFont="1" applyAlignment="1">
      <alignment horizontal="center"/>
    </xf>
    <xf numFmtId="10" fontId="3" fillId="0" borderId="0" xfId="2" applyNumberFormat="1" applyFont="1" applyAlignment="1">
      <alignment horizontal="right"/>
    </xf>
    <xf numFmtId="10" fontId="3" fillId="0" borderId="0" xfId="2" applyNumberFormat="1" applyFont="1" applyFill="1"/>
    <xf numFmtId="10" fontId="3" fillId="10" borderId="0" xfId="2" applyNumberFormat="1" applyFont="1" applyFill="1" applyAlignment="1">
      <alignment horizontal="center" wrapText="1"/>
    </xf>
    <xf numFmtId="10" fontId="3" fillId="0" borderId="0" xfId="2" applyNumberFormat="1" applyFont="1" applyAlignment="1">
      <alignment horizontal="center" vertical="center"/>
    </xf>
    <xf numFmtId="10" fontId="11" fillId="0" borderId="0" xfId="2" applyNumberFormat="1" applyFont="1"/>
    <xf numFmtId="10" fontId="3" fillId="11" borderId="0" xfId="2" applyNumberFormat="1" applyFont="1" applyFill="1"/>
    <xf numFmtId="42" fontId="3" fillId="0" borderId="0" xfId="1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/>
    <xf numFmtId="10" fontId="3" fillId="0" borderId="0" xfId="2" applyNumberFormat="1" applyFont="1" applyAlignment="1">
      <alignment horizontal="left"/>
    </xf>
    <xf numFmtId="10" fontId="11" fillId="0" borderId="0" xfId="2" applyNumberFormat="1" applyFont="1" applyAlignment="1">
      <alignment horizontal="right"/>
    </xf>
    <xf numFmtId="164" fontId="3" fillId="10" borderId="0" xfId="2" applyNumberFormat="1" applyFont="1" applyFill="1"/>
    <xf numFmtId="164" fontId="3" fillId="8" borderId="0" xfId="2" applyNumberFormat="1" applyFont="1" applyFill="1"/>
    <xf numFmtId="0" fontId="12" fillId="2" borderId="6" xfId="0" applyFont="1" applyFill="1" applyBorder="1" applyAlignment="1">
      <alignment horizontal="right" wrapText="1"/>
    </xf>
    <xf numFmtId="164" fontId="5" fillId="0" borderId="7" xfId="0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5B8E2"/>
      <color rgb="FF1E384B"/>
      <color rgb="FFDDC5F1"/>
      <color rgb="FFF6D1FF"/>
      <color rgb="FFD7B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IG\Budget%20and%20Forecast\CRL%202003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\DATA\Econocom\CLIENTS\MIDLOTHI\FY2002RS\Mid%20Cash%20Model%20FY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8-12-08\Budget\DCTA%202008%202009%20Budg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%20AND%20ADMINISTRATION\Budget%20Files\DCTA%20Budget%202005.2006\DTCA%202005.2006%20Budget%20Pres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TA%20Budget%202005.2006\DTCA%202005.2006%20Budget%20Pres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Import"/>
      <sheetName val="Summary For Business Plan"/>
      <sheetName val="Bud to YEO Summary"/>
      <sheetName val="RRStats"/>
      <sheetName val="Budget"/>
      <sheetName val="Revenue Summary"/>
      <sheetName val="Freight&amp;SwitchRev"/>
      <sheetName val="SpecialFreight&amp;Switch"/>
      <sheetName val="CarStorageRevenue"/>
      <sheetName val="LandLeaseRevenue"/>
      <sheetName val="DemurrageRevenue"/>
      <sheetName val="CarHireRevenue"/>
      <sheetName val="AARCarRepairsRevenue"/>
      <sheetName val="OtherContractRev"/>
      <sheetName val="OtherContractRevIC"/>
      <sheetName val="MOW Labor"/>
      <sheetName val="MOE Labor"/>
      <sheetName val="AAR_Other Labor"/>
      <sheetName val="Transportation Labor"/>
      <sheetName val="Bedford Park Labor"/>
      <sheetName val="Canal St Labor"/>
      <sheetName val="IMX Labor"/>
      <sheetName val="G&amp;A Labor"/>
      <sheetName val="MOW Expenses"/>
      <sheetName val="Transportation Expenses"/>
      <sheetName val="Insur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BUDGET:  2003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Test Year 1"/>
      <sheetName val="Test Year 2"/>
      <sheetName val="Test Year 3"/>
      <sheetName val="Test Year 4"/>
      <sheetName val="Test Year 5"/>
      <sheetName val="Test Year 6"/>
      <sheetName val="Test Year 7"/>
      <sheetName val="Test Year 8"/>
      <sheetName val="Test Year 9"/>
      <sheetName val="Test Year 10"/>
      <sheetName val="Test Year 11"/>
      <sheetName val="Forecast 1"/>
      <sheetName val="Forecast 2"/>
      <sheetName val="Forecast 3"/>
      <sheetName val="Forecast 4"/>
      <sheetName val="Forecast 5"/>
      <sheetName val="Forecast 6"/>
      <sheetName val="Forecast 7"/>
      <sheetName val="Forecast 8"/>
      <sheetName val="Forecast 9"/>
      <sheetName val="Forecast 10"/>
      <sheetName val="Forecast 11"/>
      <sheetName val="Forecast 12"/>
      <sheetName val="Volume Input"/>
      <sheetName val="Budget Input"/>
      <sheetName val="Capital Input"/>
      <sheetName val="Loan Input"/>
      <sheetName val="Alternate Rate Input"/>
      <sheetName val="Factor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L24">
            <v>259559200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inum Import"/>
      <sheetName val="maindata"/>
      <sheetName val="Comments"/>
      <sheetName val="09 FTE by Dept"/>
      <sheetName val="FY 2009 Ridership Cond"/>
      <sheetName val="Summary for Notes"/>
      <sheetName val="09 Revenue"/>
      <sheetName val="09 Oprtg Exp"/>
      <sheetName val="09 Other Exp Chart"/>
      <sheetName val="Div_Summ Chart"/>
      <sheetName val="G&amp;A Support Services"/>
      <sheetName val="Departmental Breakdowns"/>
      <sheetName val="Rail Services"/>
      <sheetName val="Bus Services"/>
      <sheetName val="UNT STATS"/>
      <sheetName val="Commuter Stats"/>
      <sheetName val="Access Stats"/>
      <sheetName val="Connect stats"/>
      <sheetName val="2009 Capital Budget (2)"/>
      <sheetName val="2009 Capital Budget"/>
      <sheetName val="09 ST Rev"/>
      <sheetName val="Change in Actual Net Assets "/>
      <sheetName val="TMDC 2009 Depreciation"/>
      <sheetName val="DCTA 2009 Depreciation"/>
      <sheetName val="RAIL 2009 BUDGET"/>
      <sheetName val="TMDC 2009 BUDGET"/>
      <sheetName val="DCTA 2009 BUDGET"/>
      <sheetName val="DCTA 08 FORECAST"/>
      <sheetName val="TMDC 08 FORECAST"/>
      <sheetName val="DCTA AMENDED BUDGET 08"/>
      <sheetName val="TMDC AMENDED BUDGET 08"/>
      <sheetName val="DCTA FY 07 ACTUALS"/>
      <sheetName val="TMDC FY 07 ACTUALS"/>
      <sheetName val="2009 Budget  Div_Summ by Dept"/>
      <sheetName val="2008 Forecast  Div_Summ Dept"/>
      <sheetName val="2008 Amend Bud  Div Summ Dept"/>
      <sheetName val="2007 Actual  Div Summ Dept"/>
      <sheetName val="2009 Budget  Div_Summ"/>
      <sheetName val="2008 Forecast Div_Summ"/>
      <sheetName val="2008 Amend Bud Div_Summ"/>
      <sheetName val="2007 Actuals Div_Summ "/>
      <sheetName val=" Operations"/>
      <sheetName val="09 TMDC FTE"/>
      <sheetName val="Summary "/>
      <sheetName val="2009 Revenue Budget"/>
      <sheetName val="DCTA 09 Salary and Wages"/>
      <sheetName val="09 TMDC Salary and Wages "/>
      <sheetName val="50 G&amp;A"/>
      <sheetName val="51 Connect"/>
      <sheetName val="52 UNT "/>
      <sheetName val="53 Access"/>
      <sheetName val="54 Comm . Exp."/>
      <sheetName val="56 Maint."/>
      <sheetName val="57 Supv "/>
      <sheetName val="60 COO-RAIL "/>
      <sheetName val="61 VP PM"/>
      <sheetName val="80 President &amp; 84 BOD "/>
      <sheetName val="81 CFO "/>
      <sheetName val="85 C&amp;M"/>
      <sheetName val="86 DIR BUS OPS"/>
      <sheetName val="87 DPS"/>
      <sheetName val="88 HR"/>
      <sheetName val="Chart"/>
      <sheetName val="QB CIG Chart"/>
      <sheetName val="2004 Actuals"/>
      <sheetName val="Instructions(1)"/>
      <sheetName val="Instructions(2) "/>
      <sheetName val="MOW Labor"/>
      <sheetName val="MOE Labor"/>
      <sheetName val="AAR_Other Labor"/>
      <sheetName val="Transportation Labor"/>
      <sheetName val="G&amp;A Labor"/>
      <sheetName val="MOW Expenses"/>
      <sheetName val="Transportation Expenses"/>
      <sheetName val="CapitalExpenditures(1)"/>
      <sheetName val="CapitalExpenditures(2)"/>
      <sheetName val="CarHire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inum Import"/>
      <sheetName val="maindata"/>
      <sheetName val="Comments"/>
      <sheetName val="Change in Actual Net Assets"/>
      <sheetName val="Capital Budget by Month"/>
      <sheetName val="Budget"/>
      <sheetName val="GAAP Budget Sch"/>
      <sheetName val="Summary"/>
      <sheetName val="Revenue Chart"/>
      <sheetName val="Oprtg Exp Chart"/>
      <sheetName val="Other Exp Chart"/>
      <sheetName val="Div_Summ Chart"/>
      <sheetName val="G&amp;A ED Chart"/>
      <sheetName val="F&amp;A Chart"/>
      <sheetName val="Prog_Devlp Chart"/>
      <sheetName val="Operations Chart"/>
      <sheetName val="Proj_Mgt Chart"/>
      <sheetName val="Capital Budget Chart"/>
      <sheetName val="2006 Div_Summ"/>
      <sheetName val="2005 Div_Summ"/>
      <sheetName val="2005 bud Div_Summ"/>
      <sheetName val="Operations"/>
      <sheetName val="G&amp;A ED"/>
      <sheetName val="F&amp;A"/>
      <sheetName val="Prog_Devlp"/>
      <sheetName val="Proj_Mgt"/>
      <sheetName val="ST Rev"/>
      <sheetName val="Farebox Rev"/>
      <sheetName val="Denton - UNT Expense"/>
      <sheetName val="Int Inc-Exp"/>
      <sheetName val="POS Rev"/>
      <sheetName val="Salary and Wages"/>
      <sheetName val="S&amp;W Var"/>
      <sheetName val="Salary Forecast"/>
      <sheetName val="McDonald"/>
      <sheetName val="TLH 05 Forecast"/>
      <sheetName val="Interest Income"/>
      <sheetName val="FY 2006 Chart"/>
      <sheetName val="FY04 Ridership"/>
      <sheetName val="FY05 Ridership"/>
      <sheetName val="FY06 Estimates"/>
      <sheetName val="Lewisville Assets"/>
      <sheetName val="DCTA 06 Equipment Depr"/>
      <sheetName val="DCTA 06 Office Equipment Depr"/>
      <sheetName val="DTCA Depr Sch"/>
      <sheetName val="2005 Budget revisions"/>
      <sheetName val="Denton FA"/>
      <sheetName val="Denton Shelter locations"/>
      <sheetName val="BS"/>
      <sheetName val="IS"/>
      <sheetName val="Net Assets"/>
      <sheetName val="Capital Budget by Dept"/>
      <sheetName val="CS Cap Recon"/>
      <sheetName val="FY05 Grant Use"/>
      <sheetName val="Stmts Rev,Exp, Assets"/>
      <sheetName val="Stmt Cash Flows"/>
      <sheetName val="Stmt Cash Flows Pg 2"/>
      <sheetName val="Medical and Dental"/>
      <sheetName val="Change in Budget Net Assets"/>
      <sheetName val="Summary Chart"/>
      <sheetName val="Chart"/>
      <sheetName val="QB CIG Chart"/>
      <sheetName val="2004 Actuals"/>
      <sheetName val="Instructions(1)"/>
      <sheetName val="Instructions(2) "/>
      <sheetName val="MOW Labor"/>
      <sheetName val="MOE Labor"/>
      <sheetName val="AAR_Other Labor"/>
      <sheetName val="Transportation Labor"/>
      <sheetName val="G&amp;A Labor"/>
      <sheetName val="MOW Expenses"/>
      <sheetName val="Transportation Expenses"/>
      <sheetName val="CapitalExpenditures(1)"/>
      <sheetName val="CapitalExpenditures(2)"/>
      <sheetName val="CarHire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inum Import"/>
      <sheetName val="maindata"/>
      <sheetName val="Comments"/>
      <sheetName val="Change in Actual Net Assets"/>
      <sheetName val="Capital Budget by Month"/>
      <sheetName val="Budget"/>
      <sheetName val="GAAP Budget Sch"/>
      <sheetName val="Summary"/>
      <sheetName val="Revenue Chart"/>
      <sheetName val="Oprtg Exp Chart"/>
      <sheetName val="Other Exp Chart"/>
      <sheetName val="Div_Summ Chart"/>
      <sheetName val="G&amp;A ED Chart"/>
      <sheetName val="F&amp;A Chart"/>
      <sheetName val="Prog_Devlp Chart"/>
      <sheetName val="Operations Chart"/>
      <sheetName val="Proj_Mgt Chart"/>
      <sheetName val="Capital Budget Chart"/>
      <sheetName val="2006 Div_Summ"/>
      <sheetName val="2005 Div_Summ"/>
      <sheetName val="2005 bud Div_Summ"/>
      <sheetName val="Operations"/>
      <sheetName val="G&amp;A ED"/>
      <sheetName val="F&amp;A"/>
      <sheetName val="Prog_Devlp"/>
      <sheetName val="Proj_Mgt"/>
      <sheetName val="ST Rev"/>
      <sheetName val="Farebox Rev"/>
      <sheetName val="Denton - UNT Expense"/>
      <sheetName val="Int Inc-Exp"/>
      <sheetName val="POS Rev"/>
      <sheetName val="Salary and Wages"/>
      <sheetName val="S&amp;W Var"/>
      <sheetName val="Salary Forecast"/>
      <sheetName val="McDonald"/>
      <sheetName val="TLH 05 Forecast"/>
      <sheetName val="Interest Income"/>
      <sheetName val="FY 2006 Chart"/>
      <sheetName val="FY04 Ridership"/>
      <sheetName val="FY05 Ridership"/>
      <sheetName val="FY06 Estimates"/>
      <sheetName val="Lewisville Assets"/>
      <sheetName val="DCTA 06 Equipment Depr"/>
      <sheetName val="DCTA 06 Office Equipment Depr"/>
      <sheetName val="DTCA Depr Sch"/>
      <sheetName val="2005 Budget revisions"/>
      <sheetName val="Denton FA"/>
      <sheetName val="Denton Shelter locations"/>
      <sheetName val="BS"/>
      <sheetName val="IS"/>
      <sheetName val="Net Assets"/>
      <sheetName val="Capital Budget by Dept"/>
      <sheetName val="CS Cap Recon"/>
      <sheetName val="FY05 Grant Use"/>
      <sheetName val="Stmts Rev,Exp, Assets"/>
      <sheetName val="Stmt Cash Flows"/>
      <sheetName val="Stmt Cash Flows Pg 2"/>
      <sheetName val="Medical and Dental"/>
      <sheetName val="Change in Budget Net Assets"/>
      <sheetName val="Summary Chart"/>
      <sheetName val="Chart"/>
      <sheetName val="QB CIG Chart"/>
      <sheetName val="2004 Actuals"/>
      <sheetName val="Instructions(1)"/>
      <sheetName val="Instructions(2) "/>
      <sheetName val="MOW Labor"/>
      <sheetName val="MOE Labor"/>
      <sheetName val="AAR_Other Labor"/>
      <sheetName val="Transportation Labor"/>
      <sheetName val="G&amp;A Labor"/>
      <sheetName val="MOW Expenses"/>
      <sheetName val="Transportation Expenses"/>
      <sheetName val="CapitalExpenditures(1)"/>
      <sheetName val="CapitalExpenditures(2)"/>
      <sheetName val="CarHire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1DEC2-6DB2-4BDE-9D76-83BC8D692080}">
  <dimension ref="A1:BT145"/>
  <sheetViews>
    <sheetView tabSelected="1" zoomScaleNormal="100" zoomScaleSheetLayoutView="75" workbookViewId="0">
      <pane xSplit="2" ySplit="1" topLeftCell="AO86" activePane="bottomRight" state="frozen"/>
      <selection activeCell="G10" sqref="G10"/>
      <selection pane="topRight" activeCell="G10" sqref="G10"/>
      <selection pane="bottomLeft" activeCell="G10" sqref="G10"/>
      <selection pane="bottomRight" activeCell="H91" sqref="H91"/>
    </sheetView>
  </sheetViews>
  <sheetFormatPr defaultColWidth="8.88671875" defaultRowHeight="13.2" x14ac:dyDescent="0.25"/>
  <cols>
    <col min="1" max="1" width="9.21875" style="6" customWidth="1"/>
    <col min="2" max="2" width="33" style="5" customWidth="1"/>
    <col min="3" max="3" width="10.77734375" style="8" customWidth="1"/>
    <col min="4" max="4" width="14.6640625" style="8" customWidth="1"/>
    <col min="5" max="5" width="10.6640625" style="8" customWidth="1"/>
    <col min="6" max="6" width="12.88671875" style="8" customWidth="1"/>
    <col min="7" max="7" width="11.88671875" style="8" customWidth="1"/>
    <col min="8" max="8" width="13.88671875" style="8" customWidth="1"/>
    <col min="9" max="9" width="12.44140625" style="8" customWidth="1"/>
    <col min="10" max="10" width="11.88671875" style="8" customWidth="1"/>
    <col min="11" max="11" width="12.5546875" style="8" customWidth="1"/>
    <col min="12" max="12" width="13.44140625" style="8" customWidth="1"/>
    <col min="13" max="13" width="1.77734375" style="8" customWidth="1"/>
    <col min="14" max="22" width="11.77734375" style="8" customWidth="1"/>
    <col min="23" max="23" width="11.77734375" style="8" hidden="1" customWidth="1"/>
    <col min="24" max="24" width="11.77734375" style="8" customWidth="1"/>
    <col min="25" max="25" width="12.77734375" style="8" customWidth="1"/>
    <col min="26" max="26" width="11.77734375" style="8" customWidth="1"/>
    <col min="27" max="27" width="11.77734375" style="8" hidden="1" customWidth="1"/>
    <col min="28" max="29" width="12.77734375" style="8" customWidth="1"/>
    <col min="30" max="31" width="13" style="8" hidden="1" customWidth="1"/>
    <col min="32" max="33" width="12.77734375" style="8" customWidth="1"/>
    <col min="34" max="35" width="11.33203125" style="8" hidden="1" customWidth="1"/>
    <col min="36" max="41" width="12.77734375" style="8" customWidth="1"/>
    <col min="42" max="47" width="10.77734375" style="8" customWidth="1"/>
    <col min="48" max="49" width="12.44140625" style="8" customWidth="1"/>
    <col min="50" max="50" width="13.77734375" style="8" customWidth="1"/>
    <col min="51" max="51" width="1.77734375" style="8" customWidth="1"/>
    <col min="52" max="52" width="13.77734375" style="8" customWidth="1"/>
    <col min="53" max="53" width="1.77734375" style="8" customWidth="1"/>
    <col min="54" max="54" width="13.77734375" style="8" customWidth="1"/>
    <col min="55" max="55" width="1.77734375" style="8" customWidth="1"/>
    <col min="56" max="57" width="13.44140625" style="122" hidden="1" customWidth="1"/>
    <col min="58" max="58" width="2.21875" style="8" hidden="1" customWidth="1"/>
    <col min="59" max="59" width="16.109375" style="5" hidden="1" customWidth="1"/>
    <col min="60" max="60" width="11.44140625" style="5" hidden="1" customWidth="1"/>
    <col min="61" max="61" width="13.88671875" style="5" hidden="1" customWidth="1"/>
    <col min="62" max="62" width="15.88671875" style="5" hidden="1" customWidth="1"/>
    <col min="63" max="63" width="13.88671875" style="5" hidden="1" customWidth="1"/>
    <col min="64" max="64" width="13.77734375" style="8" hidden="1" customWidth="1"/>
    <col min="65" max="66" width="15.21875" style="8" hidden="1" customWidth="1"/>
    <col min="67" max="67" width="13.21875" style="141" hidden="1" customWidth="1"/>
    <col min="68" max="68" width="13.77734375" style="141" hidden="1" customWidth="1"/>
    <col min="69" max="69" width="16.88671875" style="5" customWidth="1"/>
    <col min="70" max="70" width="20.44140625" style="5" customWidth="1"/>
    <col min="71" max="71" width="16.109375" style="5" customWidth="1"/>
    <col min="72" max="16384" width="8.88671875" style="5"/>
  </cols>
  <sheetData>
    <row r="1" spans="1:70" ht="72" x14ac:dyDescent="0.25">
      <c r="A1" s="14" t="s">
        <v>200</v>
      </c>
      <c r="B1" s="117" t="s">
        <v>201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"/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205</v>
      </c>
      <c r="X1" s="2" t="s">
        <v>198</v>
      </c>
      <c r="Y1" s="2" t="s">
        <v>199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24</v>
      </c>
      <c r="AF1" s="2" t="s">
        <v>25</v>
      </c>
      <c r="AG1" s="2" t="s">
        <v>26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36</v>
      </c>
      <c r="AR1" s="2" t="s">
        <v>37</v>
      </c>
      <c r="AS1" s="2" t="s">
        <v>38</v>
      </c>
      <c r="AT1" s="2" t="s">
        <v>39</v>
      </c>
      <c r="AU1" s="2" t="s">
        <v>40</v>
      </c>
      <c r="AV1" s="2" t="s">
        <v>41</v>
      </c>
      <c r="AW1" s="2" t="s">
        <v>42</v>
      </c>
      <c r="AX1" s="2" t="s">
        <v>202</v>
      </c>
      <c r="AY1" s="3"/>
      <c r="AZ1" s="2" t="s">
        <v>43</v>
      </c>
      <c r="BA1" s="3"/>
      <c r="BB1" s="2" t="s">
        <v>219</v>
      </c>
      <c r="BC1" s="4"/>
      <c r="BD1" s="121" t="s">
        <v>44</v>
      </c>
      <c r="BE1" s="121" t="s">
        <v>45</v>
      </c>
      <c r="BF1" s="4"/>
      <c r="BL1" s="2" t="s">
        <v>214</v>
      </c>
      <c r="BM1" s="2" t="s">
        <v>215</v>
      </c>
      <c r="BN1" s="2" t="s">
        <v>216</v>
      </c>
    </row>
    <row r="2" spans="1:70" x14ac:dyDescent="0.25">
      <c r="A2" s="6">
        <v>40100</v>
      </c>
      <c r="B2" s="35" t="s">
        <v>46</v>
      </c>
      <c r="C2" s="74">
        <v>0</v>
      </c>
      <c r="D2" s="74">
        <v>0</v>
      </c>
      <c r="E2" s="74">
        <v>0</v>
      </c>
      <c r="F2" s="74">
        <v>0</v>
      </c>
      <c r="G2" s="74">
        <v>0</v>
      </c>
      <c r="H2" s="74">
        <v>0</v>
      </c>
      <c r="I2" s="74">
        <v>0</v>
      </c>
      <c r="J2" s="74">
        <v>0</v>
      </c>
      <c r="K2" s="74">
        <v>0</v>
      </c>
      <c r="L2" s="74">
        <f>SUM(C2:K2)</f>
        <v>0</v>
      </c>
      <c r="M2" s="74"/>
      <c r="N2" s="78">
        <v>0</v>
      </c>
      <c r="O2" s="78">
        <v>0</v>
      </c>
      <c r="P2" s="74">
        <v>0</v>
      </c>
      <c r="Q2" s="74">
        <v>0</v>
      </c>
      <c r="R2" s="78">
        <v>6745</v>
      </c>
      <c r="S2" s="78">
        <v>0</v>
      </c>
      <c r="T2" s="74">
        <v>1149</v>
      </c>
      <c r="U2" s="74">
        <v>0</v>
      </c>
      <c r="V2" s="78">
        <v>0</v>
      </c>
      <c r="W2" s="78">
        <v>0</v>
      </c>
      <c r="X2" s="110">
        <v>0</v>
      </c>
      <c r="Y2" s="110">
        <v>0</v>
      </c>
      <c r="Z2" s="78">
        <v>0</v>
      </c>
      <c r="AA2" s="108">
        <v>0</v>
      </c>
      <c r="AB2" s="110">
        <v>204708</v>
      </c>
      <c r="AC2" s="110">
        <v>0</v>
      </c>
      <c r="AD2" s="80">
        <v>0</v>
      </c>
      <c r="AE2" s="80">
        <v>0</v>
      </c>
      <c r="AF2" s="78">
        <v>68124</v>
      </c>
      <c r="AG2" s="112">
        <v>0</v>
      </c>
      <c r="AH2" s="81">
        <v>0</v>
      </c>
      <c r="AI2" s="81">
        <v>0</v>
      </c>
      <c r="AJ2" s="110">
        <v>29814</v>
      </c>
      <c r="AK2" s="110">
        <v>0</v>
      </c>
      <c r="AL2" s="78">
        <v>1398</v>
      </c>
      <c r="AM2" s="78">
        <v>0</v>
      </c>
      <c r="AN2" s="110">
        <v>17210</v>
      </c>
      <c r="AO2" s="114">
        <v>0</v>
      </c>
      <c r="AP2" s="78">
        <v>2564</v>
      </c>
      <c r="AQ2" s="78">
        <v>0</v>
      </c>
      <c r="AR2" s="110">
        <v>0</v>
      </c>
      <c r="AS2" s="110">
        <v>0</v>
      </c>
      <c r="AT2" s="78">
        <v>0</v>
      </c>
      <c r="AU2" s="78">
        <v>0</v>
      </c>
      <c r="AV2" s="110">
        <v>0</v>
      </c>
      <c r="AW2" s="110">
        <v>0</v>
      </c>
      <c r="AX2" s="74">
        <f>SUM(N2:AW2)</f>
        <v>331712</v>
      </c>
      <c r="AY2" s="74"/>
      <c r="AZ2" s="74">
        <v>248579</v>
      </c>
      <c r="BA2" s="74"/>
      <c r="BB2" s="82">
        <f>L2+AX2+AZ2</f>
        <v>580291</v>
      </c>
      <c r="BD2" s="122">
        <f>+AV2+AT2+AR2+AP2+AN2+AL2+AJ2+AH2+AF2+AD2+AB2+AA2+Z2+X2+V2+T2+R2+P2+N2</f>
        <v>331712</v>
      </c>
      <c r="BE2" s="122">
        <f>AW2+AU2+AS2+AQ2+AO2+AM2+AK2+AI2+AG2+AE2+AC2+Y2+U2+S2+Q2+O2</f>
        <v>0</v>
      </c>
      <c r="BL2" s="74"/>
      <c r="BM2" s="74"/>
      <c r="BN2" s="74"/>
    </row>
    <row r="3" spans="1:70" x14ac:dyDescent="0.25">
      <c r="A3" s="6">
        <v>40120</v>
      </c>
      <c r="B3" s="35" t="s">
        <v>47</v>
      </c>
      <c r="C3" s="74">
        <v>0</v>
      </c>
      <c r="D3" s="74">
        <v>0</v>
      </c>
      <c r="E3" s="74">
        <v>0</v>
      </c>
      <c r="F3" s="74">
        <v>0</v>
      </c>
      <c r="G3" s="74">
        <v>0</v>
      </c>
      <c r="H3" s="74">
        <v>0</v>
      </c>
      <c r="I3" s="74">
        <v>0</v>
      </c>
      <c r="J3" s="74">
        <v>0</v>
      </c>
      <c r="K3" s="74">
        <v>0</v>
      </c>
      <c r="L3" s="74">
        <f>SUM(C3:K3)</f>
        <v>0</v>
      </c>
      <c r="M3" s="74"/>
      <c r="N3" s="78">
        <f>2879072+49</f>
        <v>2879121</v>
      </c>
      <c r="O3" s="78">
        <v>0</v>
      </c>
      <c r="P3" s="74">
        <v>0</v>
      </c>
      <c r="Q3" s="74">
        <v>0</v>
      </c>
      <c r="R3" s="78">
        <v>318254</v>
      </c>
      <c r="S3" s="78">
        <v>0</v>
      </c>
      <c r="T3" s="74">
        <v>87027</v>
      </c>
      <c r="U3" s="74">
        <v>0</v>
      </c>
      <c r="V3" s="78">
        <v>50000</v>
      </c>
      <c r="W3" s="78">
        <v>0</v>
      </c>
      <c r="X3" s="110">
        <v>0</v>
      </c>
      <c r="Y3" s="110">
        <v>0</v>
      </c>
      <c r="Z3" s="78">
        <v>0</v>
      </c>
      <c r="AA3" s="108">
        <v>0</v>
      </c>
      <c r="AB3" s="110">
        <v>28218</v>
      </c>
      <c r="AC3" s="110">
        <v>0</v>
      </c>
      <c r="AD3" s="80">
        <v>0</v>
      </c>
      <c r="AE3" s="80">
        <v>0</v>
      </c>
      <c r="AF3" s="78">
        <v>20782</v>
      </c>
      <c r="AG3" s="112">
        <v>0</v>
      </c>
      <c r="AH3" s="81">
        <v>0</v>
      </c>
      <c r="AI3" s="81">
        <v>0</v>
      </c>
      <c r="AJ3" s="110">
        <v>0</v>
      </c>
      <c r="AK3" s="110">
        <v>0</v>
      </c>
      <c r="AL3" s="78">
        <v>0</v>
      </c>
      <c r="AM3" s="78">
        <v>0</v>
      </c>
      <c r="AN3" s="110">
        <v>0</v>
      </c>
      <c r="AO3" s="114">
        <v>0</v>
      </c>
      <c r="AP3" s="78">
        <v>75000</v>
      </c>
      <c r="AQ3" s="78">
        <v>0</v>
      </c>
      <c r="AR3" s="110">
        <v>0</v>
      </c>
      <c r="AS3" s="110">
        <v>0</v>
      </c>
      <c r="AT3" s="78">
        <v>0</v>
      </c>
      <c r="AU3" s="78">
        <v>0</v>
      </c>
      <c r="AV3" s="110">
        <v>0</v>
      </c>
      <c r="AW3" s="110">
        <v>0</v>
      </c>
      <c r="AX3" s="74">
        <f>SUM(N3:AW3)</f>
        <v>3458402</v>
      </c>
      <c r="AY3" s="74"/>
      <c r="AZ3" s="74">
        <v>0</v>
      </c>
      <c r="BA3" s="74"/>
      <c r="BB3" s="82">
        <f>L3+AX3+AZ3</f>
        <v>3458402</v>
      </c>
      <c r="BD3" s="122">
        <f>+AV3+AT3+AR3+AP3+AN3+AL3+AJ3+AH3+AF3+AD3+AB3+AA3+Z3+X3+V3+T3+R3+P3+N3</f>
        <v>3458402</v>
      </c>
      <c r="BE3" s="122">
        <f>AW3+AU3+AS3+AQ3+AO3+AM3+AK3+AI3+AG3+AE3+AC3+Y3+U3+S3+Q3+O3</f>
        <v>0</v>
      </c>
      <c r="BL3" s="74"/>
      <c r="BM3" s="74"/>
      <c r="BN3" s="74"/>
    </row>
    <row r="4" spans="1:70" x14ac:dyDescent="0.25">
      <c r="B4" s="6"/>
      <c r="C4" s="83"/>
      <c r="D4" s="83"/>
      <c r="E4" s="83"/>
      <c r="F4" s="83"/>
      <c r="G4" s="83"/>
      <c r="H4" s="83"/>
      <c r="I4" s="83"/>
      <c r="J4" s="83"/>
      <c r="K4" s="83"/>
      <c r="L4" s="83"/>
      <c r="M4" s="74"/>
      <c r="N4" s="84"/>
      <c r="O4" s="84"/>
      <c r="P4" s="83"/>
      <c r="Q4" s="83"/>
      <c r="R4" s="84"/>
      <c r="S4" s="84"/>
      <c r="T4" s="83"/>
      <c r="U4" s="83"/>
      <c r="V4" s="84"/>
      <c r="W4" s="84"/>
      <c r="X4" s="111"/>
      <c r="Y4" s="111"/>
      <c r="Z4" s="84"/>
      <c r="AA4" s="109"/>
      <c r="AB4" s="111"/>
      <c r="AC4" s="111"/>
      <c r="AD4" s="85"/>
      <c r="AE4" s="85"/>
      <c r="AF4" s="84"/>
      <c r="AG4" s="113"/>
      <c r="AH4" s="86"/>
      <c r="AI4" s="86"/>
      <c r="AJ4" s="111"/>
      <c r="AK4" s="111"/>
      <c r="AL4" s="84"/>
      <c r="AM4" s="84"/>
      <c r="AN4" s="111"/>
      <c r="AO4" s="115"/>
      <c r="AP4" s="84"/>
      <c r="AQ4" s="84"/>
      <c r="AR4" s="111"/>
      <c r="AS4" s="111"/>
      <c r="AT4" s="84"/>
      <c r="AU4" s="84"/>
      <c r="AV4" s="111"/>
      <c r="AW4" s="111"/>
      <c r="AX4" s="83"/>
      <c r="AY4" s="74"/>
      <c r="AZ4" s="83"/>
      <c r="BA4" s="74"/>
      <c r="BB4" s="87"/>
      <c r="BD4" s="123"/>
      <c r="BE4" s="123"/>
      <c r="BL4" s="83"/>
      <c r="BM4" s="83"/>
      <c r="BN4" s="83"/>
    </row>
    <row r="5" spans="1:70" s="13" customFormat="1" x14ac:dyDescent="0.25">
      <c r="A5" s="10"/>
      <c r="B5" s="118" t="s">
        <v>48</v>
      </c>
      <c r="C5" s="75">
        <f>SUM(C2:C4)</f>
        <v>0</v>
      </c>
      <c r="D5" s="75">
        <f>SUM(D2:D4)</f>
        <v>0</v>
      </c>
      <c r="E5" s="75">
        <f>SUM(E2:E4)</f>
        <v>0</v>
      </c>
      <c r="F5" s="75">
        <f t="shared" ref="F5:AZ5" si="0">SUM(F2:F4)</f>
        <v>0</v>
      </c>
      <c r="G5" s="75">
        <f t="shared" si="0"/>
        <v>0</v>
      </c>
      <c r="H5" s="75">
        <f t="shared" si="0"/>
        <v>0</v>
      </c>
      <c r="I5" s="75">
        <f t="shared" si="0"/>
        <v>0</v>
      </c>
      <c r="J5" s="75">
        <f t="shared" si="0"/>
        <v>0</v>
      </c>
      <c r="K5" s="75">
        <f t="shared" si="0"/>
        <v>0</v>
      </c>
      <c r="L5" s="75">
        <f t="shared" si="0"/>
        <v>0</v>
      </c>
      <c r="M5" s="88"/>
      <c r="N5" s="75">
        <f>SUM(N2:N4)</f>
        <v>2879121</v>
      </c>
      <c r="O5" s="75"/>
      <c r="P5" s="75">
        <f>SUM(P2:P4)</f>
        <v>0</v>
      </c>
      <c r="Q5" s="75"/>
      <c r="R5" s="75">
        <f t="shared" si="0"/>
        <v>324999</v>
      </c>
      <c r="S5" s="75"/>
      <c r="T5" s="75">
        <f t="shared" si="0"/>
        <v>88176</v>
      </c>
      <c r="U5" s="75"/>
      <c r="V5" s="75">
        <f t="shared" si="0"/>
        <v>50000</v>
      </c>
      <c r="W5" s="75">
        <f t="shared" si="0"/>
        <v>0</v>
      </c>
      <c r="X5" s="75">
        <f t="shared" si="0"/>
        <v>0</v>
      </c>
      <c r="Y5" s="75"/>
      <c r="Z5" s="75">
        <f t="shared" si="0"/>
        <v>0</v>
      </c>
      <c r="AA5" s="89">
        <f t="shared" si="0"/>
        <v>0</v>
      </c>
      <c r="AB5" s="75">
        <f t="shared" si="0"/>
        <v>232926</v>
      </c>
      <c r="AC5" s="75"/>
      <c r="AD5" s="75">
        <f t="shared" si="0"/>
        <v>0</v>
      </c>
      <c r="AE5" s="75"/>
      <c r="AF5" s="75">
        <f t="shared" si="0"/>
        <v>88906</v>
      </c>
      <c r="AG5" s="90">
        <f t="shared" si="0"/>
        <v>0</v>
      </c>
      <c r="AH5" s="75">
        <f t="shared" si="0"/>
        <v>0</v>
      </c>
      <c r="AI5" s="75"/>
      <c r="AJ5" s="75">
        <f t="shared" si="0"/>
        <v>29814</v>
      </c>
      <c r="AK5" s="75"/>
      <c r="AL5" s="75">
        <f t="shared" si="0"/>
        <v>1398</v>
      </c>
      <c r="AM5" s="75"/>
      <c r="AN5" s="75">
        <f t="shared" si="0"/>
        <v>17210</v>
      </c>
      <c r="AO5" s="90"/>
      <c r="AP5" s="75">
        <f t="shared" si="0"/>
        <v>77564</v>
      </c>
      <c r="AQ5" s="75"/>
      <c r="AR5" s="75">
        <f t="shared" si="0"/>
        <v>0</v>
      </c>
      <c r="AS5" s="75"/>
      <c r="AT5" s="75">
        <f t="shared" si="0"/>
        <v>0</v>
      </c>
      <c r="AU5" s="75"/>
      <c r="AV5" s="75">
        <f t="shared" si="0"/>
        <v>0</v>
      </c>
      <c r="AW5" s="75"/>
      <c r="AX5" s="75">
        <f t="shared" si="0"/>
        <v>3790114</v>
      </c>
      <c r="AY5" s="88"/>
      <c r="AZ5" s="75">
        <f t="shared" si="0"/>
        <v>248579</v>
      </c>
      <c r="BA5" s="88"/>
      <c r="BB5" s="75">
        <f>SUM(BB2:BB4)</f>
        <v>4038693</v>
      </c>
      <c r="BC5" s="12">
        <f t="shared" ref="BC5" si="1">SUM(D5:K5)+AY5+BA5</f>
        <v>0</v>
      </c>
      <c r="BD5" s="11">
        <f>SUM(BD2:BD4)</f>
        <v>3790114</v>
      </c>
      <c r="BE5" s="11">
        <f>SUM(BE2:BE4)</f>
        <v>0</v>
      </c>
      <c r="BF5" s="12"/>
      <c r="BL5" s="75"/>
      <c r="BM5" s="75"/>
      <c r="BN5" s="75"/>
      <c r="BO5" s="142"/>
      <c r="BP5" s="142"/>
    </row>
    <row r="6" spans="1:70" x14ac:dyDescent="0.25"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1"/>
      <c r="AB6" s="74"/>
      <c r="AC6" s="74"/>
      <c r="AD6" s="74"/>
      <c r="AE6" s="74"/>
      <c r="AF6" s="74"/>
      <c r="AG6" s="92"/>
      <c r="AH6" s="74"/>
      <c r="AI6" s="74"/>
      <c r="AJ6" s="74"/>
      <c r="AK6" s="74"/>
      <c r="AL6" s="74"/>
      <c r="AM6" s="74"/>
      <c r="AN6" s="74"/>
      <c r="AO6" s="92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82"/>
      <c r="BL6" s="74"/>
      <c r="BM6" s="74"/>
      <c r="BN6" s="74"/>
    </row>
    <row r="7" spans="1:70" s="16" customFormat="1" x14ac:dyDescent="0.25">
      <c r="A7" s="1" t="s">
        <v>49</v>
      </c>
      <c r="B7" s="14"/>
      <c r="C7" s="76"/>
      <c r="D7" s="76"/>
      <c r="E7" s="76"/>
      <c r="F7" s="76"/>
      <c r="G7" s="76"/>
      <c r="H7" s="76"/>
      <c r="I7" s="76"/>
      <c r="J7" s="76"/>
      <c r="K7" s="76"/>
      <c r="L7" s="76"/>
      <c r="M7" s="93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94"/>
      <c r="AB7" s="76"/>
      <c r="AC7" s="76"/>
      <c r="AD7" s="76"/>
      <c r="AE7" s="76"/>
      <c r="AF7" s="76"/>
      <c r="AG7" s="95"/>
      <c r="AH7" s="76"/>
      <c r="AI7" s="76"/>
      <c r="AJ7" s="76"/>
      <c r="AK7" s="76"/>
      <c r="AL7" s="76"/>
      <c r="AM7" s="76"/>
      <c r="AN7" s="76"/>
      <c r="AO7" s="95"/>
      <c r="AP7" s="76"/>
      <c r="AQ7" s="76"/>
      <c r="AR7" s="76"/>
      <c r="AS7" s="76"/>
      <c r="AT7" s="76"/>
      <c r="AU7" s="76"/>
      <c r="AV7" s="76"/>
      <c r="AW7" s="76"/>
      <c r="AX7" s="76"/>
      <c r="AY7" s="93"/>
      <c r="AZ7" s="76"/>
      <c r="BA7" s="93"/>
      <c r="BB7" s="76"/>
      <c r="BC7" s="15"/>
      <c r="BD7" s="124"/>
      <c r="BE7" s="124"/>
      <c r="BF7" s="15"/>
      <c r="BL7" s="76"/>
      <c r="BM7" s="76"/>
      <c r="BN7" s="76"/>
      <c r="BO7" s="143" t="s">
        <v>217</v>
      </c>
      <c r="BP7" s="143" t="s">
        <v>218</v>
      </c>
    </row>
    <row r="8" spans="1:70" x14ac:dyDescent="0.25">
      <c r="A8" s="6">
        <v>50110</v>
      </c>
      <c r="B8" s="35" t="s">
        <v>196</v>
      </c>
      <c r="C8" s="74">
        <v>275000</v>
      </c>
      <c r="D8" s="74">
        <v>94752</v>
      </c>
      <c r="E8" s="74">
        <v>0</v>
      </c>
      <c r="F8" s="74">
        <v>939168</v>
      </c>
      <c r="G8" s="74">
        <v>367812</v>
      </c>
      <c r="H8" s="74">
        <v>251148</v>
      </c>
      <c r="I8" s="74">
        <v>387084</v>
      </c>
      <c r="J8" s="74">
        <v>106200</v>
      </c>
      <c r="K8" s="74">
        <v>217716</v>
      </c>
      <c r="L8" s="74">
        <f>+SUM(C8:K8)</f>
        <v>2638880</v>
      </c>
      <c r="M8" s="74"/>
      <c r="N8" s="78">
        <v>0</v>
      </c>
      <c r="O8" s="78">
        <v>765320</v>
      </c>
      <c r="P8" s="74">
        <v>0</v>
      </c>
      <c r="Q8" s="74">
        <v>0</v>
      </c>
      <c r="R8" s="78">
        <v>0</v>
      </c>
      <c r="S8" s="78">
        <v>79673</v>
      </c>
      <c r="T8" s="74">
        <v>0</v>
      </c>
      <c r="U8" s="74">
        <v>9580</v>
      </c>
      <c r="V8" s="78">
        <v>0</v>
      </c>
      <c r="W8" s="78">
        <v>0</v>
      </c>
      <c r="X8" s="110">
        <v>0</v>
      </c>
      <c r="Y8" s="110">
        <v>189816</v>
      </c>
      <c r="Z8" s="78">
        <v>273660</v>
      </c>
      <c r="AA8" s="79">
        <v>0</v>
      </c>
      <c r="AB8" s="110">
        <v>0</v>
      </c>
      <c r="AC8" s="110">
        <v>839206</v>
      </c>
      <c r="AD8" s="80">
        <v>0</v>
      </c>
      <c r="AE8" s="80">
        <v>0</v>
      </c>
      <c r="AF8" s="78">
        <v>0</v>
      </c>
      <c r="AG8" s="112">
        <v>535230</v>
      </c>
      <c r="AH8" s="81">
        <v>0</v>
      </c>
      <c r="AI8" s="81">
        <v>0</v>
      </c>
      <c r="AJ8" s="110">
        <v>0</v>
      </c>
      <c r="AK8" s="110">
        <v>180872</v>
      </c>
      <c r="AL8" s="78">
        <v>0</v>
      </c>
      <c r="AM8" s="78">
        <v>20149</v>
      </c>
      <c r="AN8" s="110">
        <v>0</v>
      </c>
      <c r="AO8" s="114">
        <v>178406</v>
      </c>
      <c r="AP8" s="78">
        <v>0</v>
      </c>
      <c r="AQ8" s="78">
        <v>80896</v>
      </c>
      <c r="AR8" s="110">
        <v>0</v>
      </c>
      <c r="AS8" s="110">
        <v>359712</v>
      </c>
      <c r="AT8" s="78">
        <v>0</v>
      </c>
      <c r="AU8" s="78">
        <f>598176+68019</f>
        <v>666195</v>
      </c>
      <c r="AV8" s="110">
        <v>0</v>
      </c>
      <c r="AW8" s="110">
        <f>720599+85252</f>
        <v>805851</v>
      </c>
      <c r="AX8" s="74">
        <f t="shared" ref="AX8:AX21" si="2">SUM(N8:AW8)</f>
        <v>4984566</v>
      </c>
      <c r="AY8" s="74"/>
      <c r="AZ8" s="74">
        <v>218928</v>
      </c>
      <c r="BA8" s="74"/>
      <c r="BB8" s="82">
        <f t="shared" ref="BB8:BB21" si="3">L8+AX8+AZ8</f>
        <v>7842374</v>
      </c>
      <c r="BD8" s="122">
        <f t="shared" ref="BD8:BD21" si="4">+AV8+AT8+AR8+AP8+AN8+AL8+AJ8+AH8+AF8+AD8+AB8+AA8+Z8+X8+V8+T8+R8+P8+N8</f>
        <v>273660</v>
      </c>
      <c r="BE8" s="122">
        <f t="shared" ref="BE8:BE21" si="5">AW8+AU8+AS8+AQ8+AO8+AM8+AK8+AI8+AG8+AE8+AC8+Y8+U8+S8+Q8+O8</f>
        <v>4710906</v>
      </c>
      <c r="BG8" s="17"/>
      <c r="BH8" s="17"/>
      <c r="BI8" s="17" t="s">
        <v>203</v>
      </c>
      <c r="BJ8" s="17"/>
      <c r="BK8" s="17"/>
      <c r="BL8" s="110">
        <v>273660</v>
      </c>
      <c r="BM8" s="74">
        <f>AX8-BL8</f>
        <v>4710906</v>
      </c>
      <c r="BN8" s="74">
        <f>((BM8*(1+BO8))+((BL8*(1+BP8))))</f>
        <v>5181212.04</v>
      </c>
      <c r="BO8" s="141">
        <v>0.04</v>
      </c>
      <c r="BP8" s="141">
        <v>0.03</v>
      </c>
      <c r="BQ8" s="17"/>
      <c r="BR8" s="17"/>
    </row>
    <row r="9" spans="1:70" x14ac:dyDescent="0.25">
      <c r="A9" s="6">
        <v>50120</v>
      </c>
      <c r="B9" s="35" t="s">
        <v>197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f t="shared" ref="L9:L21" si="6">+SUM(C9:K9)</f>
        <v>0</v>
      </c>
      <c r="M9" s="74"/>
      <c r="N9" s="78">
        <v>0</v>
      </c>
      <c r="O9" s="78">
        <v>76533</v>
      </c>
      <c r="P9" s="74">
        <v>0</v>
      </c>
      <c r="Q9" s="74">
        <v>0</v>
      </c>
      <c r="R9" s="78">
        <v>0</v>
      </c>
      <c r="S9" s="78">
        <v>7967</v>
      </c>
      <c r="T9" s="74">
        <v>0</v>
      </c>
      <c r="U9" s="74">
        <v>958</v>
      </c>
      <c r="V9" s="78">
        <v>0</v>
      </c>
      <c r="W9" s="78">
        <v>0</v>
      </c>
      <c r="X9" s="110">
        <v>0</v>
      </c>
      <c r="Y9" s="110">
        <v>3156</v>
      </c>
      <c r="Z9" s="78">
        <v>0</v>
      </c>
      <c r="AA9" s="79">
        <v>0</v>
      </c>
      <c r="AB9" s="110">
        <v>0</v>
      </c>
      <c r="AC9" s="110">
        <v>83922</v>
      </c>
      <c r="AD9" s="80">
        <v>0</v>
      </c>
      <c r="AE9" s="80">
        <v>0</v>
      </c>
      <c r="AF9" s="78">
        <v>0</v>
      </c>
      <c r="AG9" s="112">
        <v>53524</v>
      </c>
      <c r="AH9" s="81">
        <v>0</v>
      </c>
      <c r="AI9" s="81">
        <v>0</v>
      </c>
      <c r="AJ9" s="110">
        <v>0</v>
      </c>
      <c r="AK9" s="110">
        <v>18089</v>
      </c>
      <c r="AL9" s="78">
        <v>0</v>
      </c>
      <c r="AM9" s="78">
        <v>2014</v>
      </c>
      <c r="AN9" s="110">
        <v>0</v>
      </c>
      <c r="AO9" s="114">
        <v>17840</v>
      </c>
      <c r="AP9" s="78">
        <v>0</v>
      </c>
      <c r="AQ9" s="78">
        <v>8089</v>
      </c>
      <c r="AR9" s="110">
        <v>0</v>
      </c>
      <c r="AS9" s="110">
        <v>24372</v>
      </c>
      <c r="AT9" s="78">
        <v>0</v>
      </c>
      <c r="AU9" s="78">
        <f>38316+1938</f>
        <v>40254</v>
      </c>
      <c r="AV9" s="110">
        <v>0</v>
      </c>
      <c r="AW9" s="110">
        <f>52452+248</f>
        <v>52700</v>
      </c>
      <c r="AX9" s="74">
        <f t="shared" si="2"/>
        <v>389418</v>
      </c>
      <c r="AY9" s="74"/>
      <c r="AZ9" s="74">
        <v>0</v>
      </c>
      <c r="BA9" s="74"/>
      <c r="BB9" s="82">
        <f t="shared" si="3"/>
        <v>389418</v>
      </c>
      <c r="BD9" s="122">
        <f t="shared" si="4"/>
        <v>0</v>
      </c>
      <c r="BE9" s="122">
        <f t="shared" si="5"/>
        <v>389418</v>
      </c>
      <c r="BG9" s="17"/>
      <c r="BH9" s="17"/>
      <c r="BI9" s="129">
        <v>120.50309</v>
      </c>
      <c r="BJ9" s="17" t="s">
        <v>204</v>
      </c>
      <c r="BK9" s="17">
        <v>30600</v>
      </c>
      <c r="BL9" s="110">
        <v>0</v>
      </c>
      <c r="BM9" s="74">
        <f t="shared" ref="BM9:BM21" si="7">AX9-BL9</f>
        <v>389418</v>
      </c>
      <c r="BN9" s="74">
        <f t="shared" ref="BN9:BN21" si="8">((BM9*(1+BO9))+((BL9*(1+BP9))))</f>
        <v>404994.72000000003</v>
      </c>
      <c r="BO9" s="141">
        <v>0.04</v>
      </c>
      <c r="BP9" s="141">
        <v>0.03</v>
      </c>
      <c r="BQ9" s="17"/>
      <c r="BR9" s="17"/>
    </row>
    <row r="10" spans="1:70" hidden="1" x14ac:dyDescent="0.25">
      <c r="A10" s="6">
        <v>50130</v>
      </c>
      <c r="B10" s="35" t="s">
        <v>50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f t="shared" si="6"/>
        <v>0</v>
      </c>
      <c r="M10" s="74"/>
      <c r="N10" s="78">
        <v>0</v>
      </c>
      <c r="O10" s="78">
        <v>0</v>
      </c>
      <c r="P10" s="74">
        <v>0</v>
      </c>
      <c r="Q10" s="74">
        <v>0</v>
      </c>
      <c r="R10" s="78">
        <v>0</v>
      </c>
      <c r="S10" s="78">
        <v>0</v>
      </c>
      <c r="T10" s="74">
        <v>0</v>
      </c>
      <c r="U10" s="74">
        <v>0</v>
      </c>
      <c r="V10" s="78">
        <v>0</v>
      </c>
      <c r="W10" s="78"/>
      <c r="X10" s="110">
        <v>0</v>
      </c>
      <c r="Y10" s="110">
        <v>0</v>
      </c>
      <c r="Z10" s="78">
        <v>0</v>
      </c>
      <c r="AA10" s="79">
        <v>0</v>
      </c>
      <c r="AB10" s="110">
        <v>0</v>
      </c>
      <c r="AC10" s="110">
        <v>0</v>
      </c>
      <c r="AD10" s="80">
        <v>0</v>
      </c>
      <c r="AE10" s="80">
        <v>0</v>
      </c>
      <c r="AF10" s="78">
        <v>0</v>
      </c>
      <c r="AG10" s="112">
        <v>0</v>
      </c>
      <c r="AH10" s="81">
        <v>0</v>
      </c>
      <c r="AI10" s="81">
        <v>0</v>
      </c>
      <c r="AJ10" s="110">
        <v>0</v>
      </c>
      <c r="AK10" s="110">
        <v>0</v>
      </c>
      <c r="AL10" s="78">
        <v>0</v>
      </c>
      <c r="AM10" s="78">
        <v>0</v>
      </c>
      <c r="AN10" s="110">
        <v>0</v>
      </c>
      <c r="AO10" s="114">
        <v>0</v>
      </c>
      <c r="AP10" s="78">
        <v>0</v>
      </c>
      <c r="AQ10" s="78">
        <v>0</v>
      </c>
      <c r="AR10" s="110">
        <v>0</v>
      </c>
      <c r="AS10" s="110">
        <v>0</v>
      </c>
      <c r="AT10" s="78">
        <v>0</v>
      </c>
      <c r="AU10" s="78">
        <v>0</v>
      </c>
      <c r="AV10" s="110">
        <v>0</v>
      </c>
      <c r="AW10" s="110">
        <v>0</v>
      </c>
      <c r="AX10" s="74">
        <f t="shared" si="2"/>
        <v>0</v>
      </c>
      <c r="AY10" s="74"/>
      <c r="AZ10" s="74">
        <v>0</v>
      </c>
      <c r="BA10" s="74"/>
      <c r="BB10" s="82">
        <f t="shared" si="3"/>
        <v>0</v>
      </c>
      <c r="BD10" s="122">
        <f t="shared" si="4"/>
        <v>0</v>
      </c>
      <c r="BE10" s="122">
        <f t="shared" si="5"/>
        <v>0</v>
      </c>
      <c r="BI10" s="129"/>
      <c r="BJ10" s="17"/>
      <c r="BK10" s="17"/>
      <c r="BL10" s="110">
        <v>0</v>
      </c>
      <c r="BM10" s="74">
        <f t="shared" si="7"/>
        <v>0</v>
      </c>
      <c r="BN10" s="74">
        <f t="shared" si="8"/>
        <v>0</v>
      </c>
      <c r="BO10" s="141">
        <v>0.04</v>
      </c>
      <c r="BQ10" s="17"/>
      <c r="BR10" s="17"/>
    </row>
    <row r="11" spans="1:70" x14ac:dyDescent="0.25">
      <c r="A11" s="6">
        <v>50160</v>
      </c>
      <c r="B11" s="35" t="s">
        <v>51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f t="shared" si="6"/>
        <v>0</v>
      </c>
      <c r="M11" s="74"/>
      <c r="N11" s="78">
        <v>0</v>
      </c>
      <c r="O11" s="78">
        <v>53670</v>
      </c>
      <c r="P11" s="74">
        <v>0</v>
      </c>
      <c r="Q11" s="74">
        <v>0</v>
      </c>
      <c r="R11" s="78">
        <v>0</v>
      </c>
      <c r="S11" s="78">
        <v>5587</v>
      </c>
      <c r="T11" s="74">
        <v>0</v>
      </c>
      <c r="U11" s="74">
        <v>672</v>
      </c>
      <c r="V11" s="78">
        <v>0</v>
      </c>
      <c r="W11" s="78">
        <v>0</v>
      </c>
      <c r="X11" s="110">
        <v>0</v>
      </c>
      <c r="Y11" s="110">
        <v>0</v>
      </c>
      <c r="Z11" s="78">
        <v>0</v>
      </c>
      <c r="AA11" s="79">
        <v>0</v>
      </c>
      <c r="AB11" s="110">
        <v>0</v>
      </c>
      <c r="AC11" s="110">
        <v>60270</v>
      </c>
      <c r="AD11" s="80">
        <v>0</v>
      </c>
      <c r="AE11" s="80">
        <v>0</v>
      </c>
      <c r="AF11" s="78">
        <v>0</v>
      </c>
      <c r="AG11" s="112">
        <v>38748</v>
      </c>
      <c r="AH11" s="81">
        <v>0</v>
      </c>
      <c r="AI11" s="81">
        <v>0</v>
      </c>
      <c r="AJ11" s="110">
        <v>0</v>
      </c>
      <c r="AK11" s="110">
        <v>13096</v>
      </c>
      <c r="AL11" s="78">
        <v>0</v>
      </c>
      <c r="AM11" s="78">
        <v>1458</v>
      </c>
      <c r="AN11" s="110">
        <v>0</v>
      </c>
      <c r="AO11" s="114">
        <v>12914</v>
      </c>
      <c r="AP11" s="78">
        <v>0</v>
      </c>
      <c r="AQ11" s="78">
        <v>5856</v>
      </c>
      <c r="AR11" s="110">
        <v>0</v>
      </c>
      <c r="AS11" s="110">
        <v>0</v>
      </c>
      <c r="AT11" s="78">
        <v>0</v>
      </c>
      <c r="AU11" s="78">
        <v>0</v>
      </c>
      <c r="AV11" s="110">
        <v>0</v>
      </c>
      <c r="AW11" s="110">
        <v>0</v>
      </c>
      <c r="AX11" s="74">
        <f t="shared" si="2"/>
        <v>192271</v>
      </c>
      <c r="AY11" s="74"/>
      <c r="AZ11" s="74">
        <v>0</v>
      </c>
      <c r="BA11" s="74"/>
      <c r="BB11" s="82">
        <f t="shared" si="3"/>
        <v>192271</v>
      </c>
      <c r="BD11" s="122">
        <f t="shared" si="4"/>
        <v>0</v>
      </c>
      <c r="BE11" s="122">
        <f t="shared" si="5"/>
        <v>192271</v>
      </c>
      <c r="BG11" s="18"/>
      <c r="BH11" s="18"/>
      <c r="BI11" s="130"/>
      <c r="BJ11" s="17"/>
      <c r="BK11" s="17"/>
      <c r="BL11" s="110">
        <v>0</v>
      </c>
      <c r="BM11" s="74">
        <f t="shared" si="7"/>
        <v>192271</v>
      </c>
      <c r="BN11" s="74">
        <f t="shared" si="8"/>
        <v>199961.84</v>
      </c>
      <c r="BO11" s="141">
        <v>0.04</v>
      </c>
      <c r="BP11" s="141">
        <v>0.03</v>
      </c>
      <c r="BQ11" s="17"/>
      <c r="BR11" s="17"/>
    </row>
    <row r="12" spans="1:70" x14ac:dyDescent="0.25">
      <c r="A12" s="6">
        <v>50205</v>
      </c>
      <c r="B12" s="35" t="s">
        <v>52</v>
      </c>
      <c r="C12" s="74">
        <v>21041</v>
      </c>
      <c r="D12" s="74">
        <v>7248</v>
      </c>
      <c r="E12" s="74">
        <v>0</v>
      </c>
      <c r="F12" s="74">
        <v>71844</v>
      </c>
      <c r="G12" s="74">
        <v>28128</v>
      </c>
      <c r="H12" s="74">
        <v>19212</v>
      </c>
      <c r="I12" s="74">
        <v>29616</v>
      </c>
      <c r="J12" s="74">
        <v>9542</v>
      </c>
      <c r="K12" s="74">
        <v>16656</v>
      </c>
      <c r="L12" s="74">
        <f t="shared" si="6"/>
        <v>203287</v>
      </c>
      <c r="M12" s="74"/>
      <c r="N12" s="78">
        <v>0</v>
      </c>
      <c r="O12" s="78">
        <v>70877</v>
      </c>
      <c r="P12" s="74">
        <v>0</v>
      </c>
      <c r="Q12" s="74">
        <v>0</v>
      </c>
      <c r="R12" s="78">
        <v>0</v>
      </c>
      <c r="S12" s="78">
        <v>7379</v>
      </c>
      <c r="T12" s="74">
        <v>0</v>
      </c>
      <c r="U12" s="74">
        <v>887</v>
      </c>
      <c r="V12" s="78">
        <v>0</v>
      </c>
      <c r="W12" s="78">
        <v>0</v>
      </c>
      <c r="X12" s="110">
        <v>0</v>
      </c>
      <c r="Y12" s="110">
        <v>14760</v>
      </c>
      <c r="Z12" s="78">
        <v>20940</v>
      </c>
      <c r="AA12" s="79">
        <v>0</v>
      </c>
      <c r="AB12" s="110">
        <v>0</v>
      </c>
      <c r="AC12" s="110">
        <v>79574</v>
      </c>
      <c r="AD12" s="80">
        <v>0</v>
      </c>
      <c r="AE12" s="80">
        <v>0</v>
      </c>
      <c r="AF12" s="78">
        <v>0</v>
      </c>
      <c r="AG12" s="112">
        <v>51176</v>
      </c>
      <c r="AH12" s="81">
        <v>0</v>
      </c>
      <c r="AI12" s="81">
        <v>0</v>
      </c>
      <c r="AJ12" s="110">
        <v>0</v>
      </c>
      <c r="AK12" s="110">
        <v>17294</v>
      </c>
      <c r="AL12" s="78">
        <v>0</v>
      </c>
      <c r="AM12" s="78">
        <v>1925</v>
      </c>
      <c r="AN12" s="110">
        <v>0</v>
      </c>
      <c r="AO12" s="114">
        <v>17058</v>
      </c>
      <c r="AP12" s="78">
        <v>0</v>
      </c>
      <c r="AQ12" s="78">
        <v>7736</v>
      </c>
      <c r="AR12" s="110">
        <v>0</v>
      </c>
      <c r="AS12" s="110">
        <v>29376</v>
      </c>
      <c r="AT12" s="78">
        <v>0</v>
      </c>
      <c r="AU12" s="78">
        <f>48696+5491</f>
        <v>54187</v>
      </c>
      <c r="AV12" s="110">
        <v>0</v>
      </c>
      <c r="AW12" s="110">
        <f>59136+6754</f>
        <v>65890</v>
      </c>
      <c r="AX12" s="74">
        <f t="shared" si="2"/>
        <v>439059</v>
      </c>
      <c r="AY12" s="74"/>
      <c r="AZ12" s="74">
        <v>16752</v>
      </c>
      <c r="BA12" s="74"/>
      <c r="BB12" s="82">
        <f t="shared" si="3"/>
        <v>659098</v>
      </c>
      <c r="BD12" s="122">
        <f t="shared" si="4"/>
        <v>20940</v>
      </c>
      <c r="BE12" s="122">
        <f t="shared" si="5"/>
        <v>418119</v>
      </c>
      <c r="BI12" s="129"/>
      <c r="BJ12" s="17"/>
      <c r="BK12" s="17"/>
      <c r="BL12" s="110">
        <v>20940</v>
      </c>
      <c r="BM12" s="74">
        <f t="shared" si="7"/>
        <v>418119</v>
      </c>
      <c r="BN12" s="74">
        <f>SUM(BN8:BN11)*BP12</f>
        <v>442641.89789999998</v>
      </c>
      <c r="BO12" s="151">
        <v>7.6499999999999999E-2</v>
      </c>
      <c r="BP12" s="151">
        <v>7.6499999999999999E-2</v>
      </c>
      <c r="BQ12" s="17"/>
      <c r="BR12" s="17"/>
    </row>
    <row r="13" spans="1:70" x14ac:dyDescent="0.25">
      <c r="A13" s="6">
        <v>50210</v>
      </c>
      <c r="B13" s="35" t="s">
        <v>53</v>
      </c>
      <c r="C13" s="74">
        <v>17168</v>
      </c>
      <c r="D13" s="74">
        <v>5913</v>
      </c>
      <c r="E13" s="74">
        <v>0</v>
      </c>
      <c r="F13" s="74">
        <v>58605</v>
      </c>
      <c r="G13" s="74">
        <v>22956</v>
      </c>
      <c r="H13" s="74">
        <v>15672</v>
      </c>
      <c r="I13" s="74">
        <v>24159</v>
      </c>
      <c r="J13" s="74">
        <v>5336</v>
      </c>
      <c r="K13" s="74">
        <v>13584</v>
      </c>
      <c r="L13" s="74">
        <f t="shared" si="6"/>
        <v>163393</v>
      </c>
      <c r="M13" s="74"/>
      <c r="N13" s="78">
        <v>0</v>
      </c>
      <c r="O13" s="78">
        <v>0</v>
      </c>
      <c r="P13" s="74">
        <v>0</v>
      </c>
      <c r="Q13" s="74">
        <v>0</v>
      </c>
      <c r="R13" s="78">
        <v>0</v>
      </c>
      <c r="S13" s="78">
        <v>0</v>
      </c>
      <c r="T13" s="74">
        <v>0</v>
      </c>
      <c r="U13" s="74">
        <v>0</v>
      </c>
      <c r="V13" s="78">
        <v>0</v>
      </c>
      <c r="W13" s="78">
        <v>0</v>
      </c>
      <c r="X13" s="110">
        <v>0</v>
      </c>
      <c r="Y13" s="110">
        <v>3600</v>
      </c>
      <c r="Z13" s="78">
        <v>17079</v>
      </c>
      <c r="AA13" s="79">
        <v>0</v>
      </c>
      <c r="AB13" s="110">
        <v>0</v>
      </c>
      <c r="AC13" s="110">
        <v>0</v>
      </c>
      <c r="AD13" s="80">
        <v>0</v>
      </c>
      <c r="AE13" s="80">
        <v>0</v>
      </c>
      <c r="AF13" s="78">
        <v>0</v>
      </c>
      <c r="AG13" s="112">
        <v>0</v>
      </c>
      <c r="AH13" s="81">
        <v>0</v>
      </c>
      <c r="AI13" s="81">
        <v>0</v>
      </c>
      <c r="AJ13" s="110">
        <v>0</v>
      </c>
      <c r="AK13" s="110">
        <v>0</v>
      </c>
      <c r="AL13" s="78">
        <v>0</v>
      </c>
      <c r="AM13" s="78">
        <v>0</v>
      </c>
      <c r="AN13" s="110">
        <v>0</v>
      </c>
      <c r="AO13" s="114">
        <v>0</v>
      </c>
      <c r="AP13" s="78">
        <v>0</v>
      </c>
      <c r="AQ13" s="78">
        <v>0</v>
      </c>
      <c r="AR13" s="110">
        <v>0</v>
      </c>
      <c r="AS13" s="110">
        <v>1200</v>
      </c>
      <c r="AT13" s="78">
        <v>0</v>
      </c>
      <c r="AU13" s="78">
        <v>12000</v>
      </c>
      <c r="AV13" s="110">
        <v>0</v>
      </c>
      <c r="AW13" s="110">
        <v>15600</v>
      </c>
      <c r="AX13" s="74">
        <f t="shared" si="2"/>
        <v>49479</v>
      </c>
      <c r="AY13" s="74"/>
      <c r="AZ13" s="74">
        <v>13665</v>
      </c>
      <c r="BA13" s="74"/>
      <c r="BB13" s="82">
        <f t="shared" si="3"/>
        <v>226537</v>
      </c>
      <c r="BD13" s="122">
        <f t="shared" si="4"/>
        <v>17079</v>
      </c>
      <c r="BE13" s="122">
        <f t="shared" si="5"/>
        <v>32400</v>
      </c>
      <c r="BI13" s="129"/>
      <c r="BJ13" s="17"/>
      <c r="BK13" s="17"/>
      <c r="BL13" s="110">
        <v>17079</v>
      </c>
      <c r="BM13" s="74">
        <f t="shared" si="7"/>
        <v>32400</v>
      </c>
      <c r="BN13" s="74">
        <v>52531</v>
      </c>
      <c r="BO13" s="141">
        <v>5.1499999999999997E-2</v>
      </c>
      <c r="BP13" s="151">
        <v>6.5500000000000003E-2</v>
      </c>
      <c r="BQ13" s="17"/>
      <c r="BR13" s="17"/>
    </row>
    <row r="14" spans="1:70" x14ac:dyDescent="0.25">
      <c r="A14" s="6">
        <v>50215</v>
      </c>
      <c r="B14" s="35" t="s">
        <v>54</v>
      </c>
      <c r="C14" s="74">
        <v>22080</v>
      </c>
      <c r="D14" s="74">
        <v>27408</v>
      </c>
      <c r="E14" s="74">
        <v>0</v>
      </c>
      <c r="F14" s="74">
        <v>183180</v>
      </c>
      <c r="G14" s="74">
        <v>52668</v>
      </c>
      <c r="H14" s="74">
        <v>52668</v>
      </c>
      <c r="I14" s="74">
        <v>47328</v>
      </c>
      <c r="J14" s="74">
        <v>10068</v>
      </c>
      <c r="K14" s="74">
        <v>30216</v>
      </c>
      <c r="L14" s="74">
        <f t="shared" si="6"/>
        <v>425616</v>
      </c>
      <c r="M14" s="74"/>
      <c r="N14" s="78">
        <v>0</v>
      </c>
      <c r="O14" s="78">
        <v>236212</v>
      </c>
      <c r="P14" s="74">
        <v>0</v>
      </c>
      <c r="Q14" s="74">
        <v>0</v>
      </c>
      <c r="R14" s="78">
        <v>0</v>
      </c>
      <c r="S14" s="78">
        <v>24591</v>
      </c>
      <c r="T14" s="74">
        <v>0</v>
      </c>
      <c r="U14" s="74">
        <v>2957</v>
      </c>
      <c r="V14" s="78">
        <v>0</v>
      </c>
      <c r="W14" s="78">
        <v>0</v>
      </c>
      <c r="X14" s="110">
        <v>0</v>
      </c>
      <c r="Y14" s="110">
        <v>54480</v>
      </c>
      <c r="Z14" s="78">
        <v>52668</v>
      </c>
      <c r="AA14" s="79">
        <v>0</v>
      </c>
      <c r="AB14" s="110">
        <v>0</v>
      </c>
      <c r="AC14" s="110">
        <v>265192</v>
      </c>
      <c r="AD14" s="80">
        <v>0</v>
      </c>
      <c r="AE14" s="80">
        <v>0</v>
      </c>
      <c r="AF14" s="78">
        <v>0</v>
      </c>
      <c r="AG14" s="112">
        <v>170549</v>
      </c>
      <c r="AH14" s="81">
        <v>0</v>
      </c>
      <c r="AI14" s="81">
        <v>0</v>
      </c>
      <c r="AJ14" s="110">
        <v>0</v>
      </c>
      <c r="AK14" s="110">
        <v>57634</v>
      </c>
      <c r="AL14" s="78">
        <v>0</v>
      </c>
      <c r="AM14" s="78">
        <v>6421</v>
      </c>
      <c r="AN14" s="110">
        <v>0</v>
      </c>
      <c r="AO14" s="114">
        <v>56848</v>
      </c>
      <c r="AP14" s="78">
        <v>0</v>
      </c>
      <c r="AQ14" s="78">
        <v>25777</v>
      </c>
      <c r="AR14" s="110">
        <v>0</v>
      </c>
      <c r="AS14" s="110">
        <v>135336</v>
      </c>
      <c r="AT14" s="78">
        <v>0</v>
      </c>
      <c r="AU14" s="78">
        <v>193872</v>
      </c>
      <c r="AV14" s="110">
        <v>0</v>
      </c>
      <c r="AW14" s="110">
        <v>243408</v>
      </c>
      <c r="AX14" s="74">
        <f t="shared" si="2"/>
        <v>1525945</v>
      </c>
      <c r="AY14" s="74"/>
      <c r="AZ14" s="74">
        <v>32520</v>
      </c>
      <c r="BA14" s="74"/>
      <c r="BB14" s="82">
        <f t="shared" si="3"/>
        <v>1984081</v>
      </c>
      <c r="BD14" s="122">
        <f t="shared" si="4"/>
        <v>52668</v>
      </c>
      <c r="BE14" s="122">
        <f t="shared" si="5"/>
        <v>1473277</v>
      </c>
      <c r="BG14" s="6"/>
      <c r="BH14" s="6"/>
      <c r="BI14" s="131"/>
      <c r="BJ14" s="17"/>
      <c r="BK14" s="17"/>
      <c r="BL14" s="110">
        <v>52668</v>
      </c>
      <c r="BM14" s="74">
        <f t="shared" si="7"/>
        <v>1473277</v>
      </c>
      <c r="BN14" s="74">
        <f t="shared" si="8"/>
        <v>1678539.5000000002</v>
      </c>
      <c r="BO14" s="141">
        <v>0.1</v>
      </c>
      <c r="BP14" s="141">
        <v>0.1</v>
      </c>
      <c r="BQ14" s="17"/>
      <c r="BR14" s="17"/>
    </row>
    <row r="15" spans="1:70" x14ac:dyDescent="0.25">
      <c r="A15" s="6">
        <v>50225</v>
      </c>
      <c r="B15" s="35" t="s">
        <v>55</v>
      </c>
      <c r="C15" s="74">
        <v>1935</v>
      </c>
      <c r="D15" s="74">
        <v>669</v>
      </c>
      <c r="E15" s="74">
        <v>0</v>
      </c>
      <c r="F15" s="74">
        <v>6663</v>
      </c>
      <c r="G15" s="74">
        <v>2613</v>
      </c>
      <c r="H15" s="74">
        <v>1782</v>
      </c>
      <c r="I15" s="74">
        <v>2745</v>
      </c>
      <c r="J15" s="74">
        <v>617</v>
      </c>
      <c r="K15" s="74">
        <v>1440</v>
      </c>
      <c r="L15" s="74">
        <f t="shared" si="6"/>
        <v>18464</v>
      </c>
      <c r="M15" s="74"/>
      <c r="N15" s="78">
        <v>0</v>
      </c>
      <c r="O15" s="78">
        <v>5441</v>
      </c>
      <c r="P15" s="74">
        <v>0</v>
      </c>
      <c r="Q15" s="74">
        <v>0</v>
      </c>
      <c r="R15" s="78">
        <v>0</v>
      </c>
      <c r="S15" s="78">
        <v>564</v>
      </c>
      <c r="T15" s="74">
        <v>0</v>
      </c>
      <c r="U15" s="74">
        <v>68</v>
      </c>
      <c r="V15" s="78">
        <v>0</v>
      </c>
      <c r="W15" s="78">
        <v>0</v>
      </c>
      <c r="X15" s="110">
        <v>0</v>
      </c>
      <c r="Y15" s="110">
        <v>5604</v>
      </c>
      <c r="Z15" s="78">
        <v>1947</v>
      </c>
      <c r="AA15" s="79">
        <v>0</v>
      </c>
      <c r="AB15" s="110">
        <v>0</v>
      </c>
      <c r="AC15" s="110">
        <v>6109</v>
      </c>
      <c r="AD15" s="80">
        <v>0</v>
      </c>
      <c r="AE15" s="80">
        <v>0</v>
      </c>
      <c r="AF15" s="78">
        <v>0</v>
      </c>
      <c r="AG15" s="112">
        <v>3924</v>
      </c>
      <c r="AH15" s="81">
        <v>0</v>
      </c>
      <c r="AI15" s="81">
        <v>0</v>
      </c>
      <c r="AJ15" s="110">
        <v>0</v>
      </c>
      <c r="AK15" s="110">
        <v>1327</v>
      </c>
      <c r="AL15" s="78">
        <v>0</v>
      </c>
      <c r="AM15" s="78">
        <v>149</v>
      </c>
      <c r="AN15" s="110">
        <v>0</v>
      </c>
      <c r="AO15" s="114">
        <v>1306</v>
      </c>
      <c r="AP15" s="78">
        <v>0</v>
      </c>
      <c r="AQ15" s="78">
        <v>592</v>
      </c>
      <c r="AR15" s="110">
        <v>0</v>
      </c>
      <c r="AS15" s="110">
        <v>11151</v>
      </c>
      <c r="AT15" s="78">
        <v>0</v>
      </c>
      <c r="AU15" s="78">
        <v>18471</v>
      </c>
      <c r="AV15" s="110">
        <v>0</v>
      </c>
      <c r="AW15" s="110">
        <f>22434+1061</f>
        <v>23495</v>
      </c>
      <c r="AX15" s="74">
        <f t="shared" si="2"/>
        <v>80148</v>
      </c>
      <c r="AY15" s="74"/>
      <c r="AZ15" s="74">
        <v>1548</v>
      </c>
      <c r="BA15" s="74"/>
      <c r="BB15" s="82">
        <f t="shared" si="3"/>
        <v>100160</v>
      </c>
      <c r="BD15" s="122">
        <f t="shared" si="4"/>
        <v>1947</v>
      </c>
      <c r="BE15" s="122">
        <f t="shared" si="5"/>
        <v>78201</v>
      </c>
      <c r="BG15" s="19"/>
      <c r="BH15" s="20"/>
      <c r="BI15" s="132"/>
      <c r="BJ15" s="17"/>
      <c r="BK15" s="17"/>
      <c r="BL15" s="110">
        <v>1947</v>
      </c>
      <c r="BM15" s="74">
        <f t="shared" si="7"/>
        <v>78201</v>
      </c>
      <c r="BN15" s="74">
        <f t="shared" si="8"/>
        <v>84155.400000000009</v>
      </c>
      <c r="BO15" s="144">
        <v>0.05</v>
      </c>
      <c r="BP15" s="144">
        <v>0.05</v>
      </c>
      <c r="BQ15" s="22"/>
      <c r="BR15" s="22"/>
    </row>
    <row r="16" spans="1:70" x14ac:dyDescent="0.25">
      <c r="A16" s="6">
        <v>50230</v>
      </c>
      <c r="B16" s="35" t="s">
        <v>56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f t="shared" si="6"/>
        <v>0</v>
      </c>
      <c r="M16" s="74"/>
      <c r="N16" s="78">
        <v>0</v>
      </c>
      <c r="O16" s="78">
        <v>0</v>
      </c>
      <c r="P16" s="74">
        <v>0</v>
      </c>
      <c r="Q16" s="74">
        <v>0</v>
      </c>
      <c r="R16" s="78">
        <v>0</v>
      </c>
      <c r="S16" s="78">
        <v>0</v>
      </c>
      <c r="T16" s="74">
        <v>0</v>
      </c>
      <c r="U16" s="74">
        <v>0</v>
      </c>
      <c r="V16" s="78">
        <v>0</v>
      </c>
      <c r="W16" s="78">
        <v>0</v>
      </c>
      <c r="X16" s="110">
        <v>0</v>
      </c>
      <c r="Y16" s="110">
        <v>1242</v>
      </c>
      <c r="Z16" s="78">
        <v>0</v>
      </c>
      <c r="AA16" s="79">
        <v>0</v>
      </c>
      <c r="AB16" s="110">
        <v>0</v>
      </c>
      <c r="AC16" s="110">
        <v>0</v>
      </c>
      <c r="AD16" s="80">
        <v>0</v>
      </c>
      <c r="AE16" s="80">
        <v>0</v>
      </c>
      <c r="AF16" s="78">
        <v>0</v>
      </c>
      <c r="AG16" s="112">
        <v>0</v>
      </c>
      <c r="AH16" s="81">
        <v>0</v>
      </c>
      <c r="AI16" s="81">
        <v>0</v>
      </c>
      <c r="AJ16" s="110">
        <v>0</v>
      </c>
      <c r="AK16" s="110">
        <v>0</v>
      </c>
      <c r="AL16" s="78">
        <v>0</v>
      </c>
      <c r="AM16" s="78">
        <v>0</v>
      </c>
      <c r="AN16" s="110">
        <v>0</v>
      </c>
      <c r="AO16" s="114">
        <v>0</v>
      </c>
      <c r="AP16" s="78">
        <v>0</v>
      </c>
      <c r="AQ16" s="78">
        <v>0</v>
      </c>
      <c r="AR16" s="110">
        <v>0</v>
      </c>
      <c r="AS16" s="110">
        <v>2475</v>
      </c>
      <c r="AT16" s="78">
        <v>0</v>
      </c>
      <c r="AU16" s="78">
        <v>4104</v>
      </c>
      <c r="AV16" s="110">
        <v>0</v>
      </c>
      <c r="AW16" s="110">
        <f>4986+130</f>
        <v>5116</v>
      </c>
      <c r="AX16" s="74">
        <f t="shared" si="2"/>
        <v>12937</v>
      </c>
      <c r="AY16" s="74"/>
      <c r="AZ16" s="74">
        <v>0</v>
      </c>
      <c r="BA16" s="74"/>
      <c r="BB16" s="82">
        <f t="shared" si="3"/>
        <v>12937</v>
      </c>
      <c r="BD16" s="122">
        <f t="shared" si="4"/>
        <v>0</v>
      </c>
      <c r="BE16" s="122">
        <f t="shared" si="5"/>
        <v>12937</v>
      </c>
      <c r="BG16" s="19"/>
      <c r="BH16" s="20"/>
      <c r="BI16" s="132"/>
      <c r="BL16" s="110">
        <v>0</v>
      </c>
      <c r="BM16" s="74">
        <f t="shared" si="7"/>
        <v>12937</v>
      </c>
      <c r="BN16" s="74">
        <f t="shared" si="8"/>
        <v>13066.37</v>
      </c>
      <c r="BO16" s="141">
        <v>0.01</v>
      </c>
    </row>
    <row r="17" spans="1:72" x14ac:dyDescent="0.25">
      <c r="A17" s="6">
        <v>50231</v>
      </c>
      <c r="B17" s="35" t="s">
        <v>57</v>
      </c>
      <c r="C17" s="74">
        <v>1080</v>
      </c>
      <c r="D17" s="74">
        <v>1068</v>
      </c>
      <c r="E17" s="74">
        <v>0</v>
      </c>
      <c r="F17" s="74">
        <v>9096</v>
      </c>
      <c r="G17" s="74">
        <v>3600</v>
      </c>
      <c r="H17" s="74">
        <v>2760</v>
      </c>
      <c r="I17" s="74">
        <v>2748</v>
      </c>
      <c r="J17" s="74">
        <v>912</v>
      </c>
      <c r="K17" s="74">
        <v>2316</v>
      </c>
      <c r="L17" s="74">
        <f t="shared" si="6"/>
        <v>23580</v>
      </c>
      <c r="M17" s="74"/>
      <c r="N17" s="78">
        <v>0</v>
      </c>
      <c r="O17" s="78">
        <v>12818</v>
      </c>
      <c r="P17" s="74">
        <v>0</v>
      </c>
      <c r="Q17" s="74">
        <v>0</v>
      </c>
      <c r="R17" s="78">
        <v>0</v>
      </c>
      <c r="S17" s="78">
        <v>1334</v>
      </c>
      <c r="T17" s="74">
        <v>0</v>
      </c>
      <c r="U17" s="74">
        <v>160</v>
      </c>
      <c r="V17" s="78">
        <v>0</v>
      </c>
      <c r="W17" s="78">
        <v>0</v>
      </c>
      <c r="X17" s="110">
        <v>0</v>
      </c>
      <c r="Y17" s="110">
        <v>2664</v>
      </c>
      <c r="Z17" s="78">
        <v>2844</v>
      </c>
      <c r="AA17" s="79">
        <v>0</v>
      </c>
      <c r="AB17" s="110">
        <v>0</v>
      </c>
      <c r="AC17" s="110">
        <v>14391</v>
      </c>
      <c r="AD17" s="80">
        <v>0</v>
      </c>
      <c r="AE17" s="80">
        <v>0</v>
      </c>
      <c r="AF17" s="78">
        <v>0</v>
      </c>
      <c r="AG17" s="112">
        <v>9256</v>
      </c>
      <c r="AH17" s="81">
        <v>0</v>
      </c>
      <c r="AI17" s="81">
        <v>0</v>
      </c>
      <c r="AJ17" s="110">
        <v>0</v>
      </c>
      <c r="AK17" s="110">
        <v>3127</v>
      </c>
      <c r="AL17" s="78">
        <v>0</v>
      </c>
      <c r="AM17" s="78">
        <v>348</v>
      </c>
      <c r="AN17" s="110">
        <v>0</v>
      </c>
      <c r="AO17" s="114">
        <v>3085</v>
      </c>
      <c r="AP17" s="78">
        <v>0</v>
      </c>
      <c r="AQ17" s="78">
        <v>1397</v>
      </c>
      <c r="AR17" s="110">
        <v>0</v>
      </c>
      <c r="AS17" s="110">
        <v>6600</v>
      </c>
      <c r="AT17" s="78">
        <v>0</v>
      </c>
      <c r="AU17" s="78">
        <v>9828</v>
      </c>
      <c r="AV17" s="110">
        <v>0</v>
      </c>
      <c r="AW17" s="110">
        <v>11748</v>
      </c>
      <c r="AX17" s="74">
        <f t="shared" si="2"/>
        <v>79600</v>
      </c>
      <c r="AY17" s="74"/>
      <c r="AZ17" s="74">
        <v>2028</v>
      </c>
      <c r="BA17" s="74"/>
      <c r="BB17" s="82">
        <f t="shared" si="3"/>
        <v>105208</v>
      </c>
      <c r="BD17" s="122">
        <f t="shared" si="4"/>
        <v>2844</v>
      </c>
      <c r="BE17" s="122">
        <f t="shared" si="5"/>
        <v>76756</v>
      </c>
      <c r="BG17" s="23"/>
      <c r="BH17" s="20"/>
      <c r="BI17" s="133"/>
      <c r="BJ17" s="17"/>
      <c r="BK17" s="17"/>
      <c r="BL17" s="110">
        <v>2844</v>
      </c>
      <c r="BM17" s="74">
        <f t="shared" si="7"/>
        <v>76756</v>
      </c>
      <c r="BN17" s="74">
        <f t="shared" si="8"/>
        <v>87560</v>
      </c>
      <c r="BO17" s="141">
        <v>0.1</v>
      </c>
      <c r="BP17" s="141">
        <v>0.1</v>
      </c>
      <c r="BQ17" s="17"/>
      <c r="BR17" s="17"/>
    </row>
    <row r="18" spans="1:72" x14ac:dyDescent="0.25">
      <c r="A18" s="6">
        <v>50235</v>
      </c>
      <c r="B18" s="35" t="s">
        <v>58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f t="shared" si="6"/>
        <v>0</v>
      </c>
      <c r="M18" s="74"/>
      <c r="N18" s="78">
        <v>0</v>
      </c>
      <c r="O18" s="78">
        <v>3504</v>
      </c>
      <c r="P18" s="74">
        <v>0</v>
      </c>
      <c r="Q18" s="74">
        <v>0</v>
      </c>
      <c r="R18" s="78">
        <v>0</v>
      </c>
      <c r="S18" s="78">
        <v>365</v>
      </c>
      <c r="T18" s="74">
        <v>0</v>
      </c>
      <c r="U18" s="74">
        <v>45</v>
      </c>
      <c r="V18" s="78">
        <v>0</v>
      </c>
      <c r="W18" s="78">
        <v>0</v>
      </c>
      <c r="X18" s="110">
        <v>0</v>
      </c>
      <c r="Y18" s="110">
        <v>756</v>
      </c>
      <c r="Z18" s="78">
        <v>0</v>
      </c>
      <c r="AA18" s="79">
        <v>0</v>
      </c>
      <c r="AB18" s="110">
        <v>0</v>
      </c>
      <c r="AC18" s="110">
        <v>3933</v>
      </c>
      <c r="AD18" s="80">
        <v>0</v>
      </c>
      <c r="AE18" s="80">
        <v>0</v>
      </c>
      <c r="AF18" s="78">
        <v>0</v>
      </c>
      <c r="AG18" s="112">
        <v>2528</v>
      </c>
      <c r="AH18" s="81">
        <v>0</v>
      </c>
      <c r="AI18" s="81">
        <v>0</v>
      </c>
      <c r="AJ18" s="110">
        <v>0</v>
      </c>
      <c r="AK18" s="110">
        <v>853</v>
      </c>
      <c r="AL18" s="78">
        <v>0</v>
      </c>
      <c r="AM18" s="78">
        <v>94</v>
      </c>
      <c r="AN18" s="110">
        <v>0</v>
      </c>
      <c r="AO18" s="114">
        <v>844</v>
      </c>
      <c r="AP18" s="78">
        <v>0</v>
      </c>
      <c r="AQ18" s="78">
        <v>383</v>
      </c>
      <c r="AR18" s="110">
        <v>0</v>
      </c>
      <c r="AS18" s="110">
        <v>1764</v>
      </c>
      <c r="AT18" s="78">
        <v>0</v>
      </c>
      <c r="AU18" s="78">
        <v>2532</v>
      </c>
      <c r="AV18" s="110">
        <v>0</v>
      </c>
      <c r="AW18" s="110">
        <v>2868</v>
      </c>
      <c r="AX18" s="74">
        <f t="shared" si="2"/>
        <v>20469</v>
      </c>
      <c r="AY18" s="74"/>
      <c r="AZ18" s="74">
        <v>0</v>
      </c>
      <c r="BA18" s="74"/>
      <c r="BB18" s="82">
        <f t="shared" si="3"/>
        <v>20469</v>
      </c>
      <c r="BD18" s="122">
        <f t="shared" si="4"/>
        <v>0</v>
      </c>
      <c r="BE18" s="122">
        <f t="shared" si="5"/>
        <v>20469</v>
      </c>
      <c r="BI18" s="129"/>
      <c r="BL18" s="110">
        <v>0</v>
      </c>
      <c r="BM18" s="74">
        <f t="shared" si="7"/>
        <v>20469</v>
      </c>
      <c r="BN18" s="74">
        <f t="shared" si="8"/>
        <v>22515.9</v>
      </c>
      <c r="BO18" s="141">
        <v>0.1</v>
      </c>
      <c r="BP18" s="141">
        <v>0.1</v>
      </c>
    </row>
    <row r="19" spans="1:72" x14ac:dyDescent="0.25">
      <c r="A19" s="6">
        <v>50245</v>
      </c>
      <c r="B19" s="35" t="s">
        <v>59</v>
      </c>
      <c r="C19" s="74">
        <v>9300</v>
      </c>
      <c r="D19" s="74">
        <v>0</v>
      </c>
      <c r="E19" s="74">
        <v>0</v>
      </c>
      <c r="F19" s="74">
        <v>6000</v>
      </c>
      <c r="G19" s="74">
        <v>0</v>
      </c>
      <c r="H19" s="74">
        <v>0</v>
      </c>
      <c r="I19" s="74">
        <v>12000</v>
      </c>
      <c r="J19" s="74">
        <v>0</v>
      </c>
      <c r="K19" s="74">
        <v>0</v>
      </c>
      <c r="L19" s="74">
        <f t="shared" si="6"/>
        <v>27300</v>
      </c>
      <c r="M19" s="74"/>
      <c r="N19" s="78">
        <v>0</v>
      </c>
      <c r="O19" s="78">
        <v>0</v>
      </c>
      <c r="P19" s="74">
        <v>0</v>
      </c>
      <c r="Q19" s="74">
        <v>0</v>
      </c>
      <c r="R19" s="78">
        <v>0</v>
      </c>
      <c r="S19" s="78">
        <v>0</v>
      </c>
      <c r="T19" s="74">
        <v>0</v>
      </c>
      <c r="U19" s="74">
        <v>0</v>
      </c>
      <c r="V19" s="78">
        <v>0</v>
      </c>
      <c r="W19" s="78">
        <v>0</v>
      </c>
      <c r="X19" s="110">
        <v>0</v>
      </c>
      <c r="Y19" s="110">
        <v>0</v>
      </c>
      <c r="Z19" s="78">
        <v>0</v>
      </c>
      <c r="AA19" s="79">
        <v>0</v>
      </c>
      <c r="AB19" s="110">
        <v>0</v>
      </c>
      <c r="AC19" s="110">
        <v>0</v>
      </c>
      <c r="AD19" s="80">
        <v>0</v>
      </c>
      <c r="AE19" s="80">
        <v>0</v>
      </c>
      <c r="AF19" s="78">
        <v>0</v>
      </c>
      <c r="AG19" s="112">
        <v>0</v>
      </c>
      <c r="AH19" s="81">
        <v>0</v>
      </c>
      <c r="AI19" s="81">
        <v>0</v>
      </c>
      <c r="AJ19" s="110">
        <v>0</v>
      </c>
      <c r="AK19" s="110">
        <v>0</v>
      </c>
      <c r="AL19" s="78">
        <v>0</v>
      </c>
      <c r="AM19" s="78">
        <v>0</v>
      </c>
      <c r="AN19" s="110">
        <v>0</v>
      </c>
      <c r="AO19" s="114">
        <v>0</v>
      </c>
      <c r="AP19" s="78">
        <v>0</v>
      </c>
      <c r="AQ19" s="78">
        <v>0</v>
      </c>
      <c r="AR19" s="110">
        <v>0</v>
      </c>
      <c r="AS19" s="110">
        <v>0</v>
      </c>
      <c r="AT19" s="78">
        <v>0</v>
      </c>
      <c r="AU19" s="78">
        <v>0</v>
      </c>
      <c r="AV19" s="110">
        <v>0</v>
      </c>
      <c r="AW19" s="110">
        <v>0</v>
      </c>
      <c r="AX19" s="74">
        <f t="shared" si="2"/>
        <v>0</v>
      </c>
      <c r="AY19" s="74"/>
      <c r="AZ19" s="74">
        <v>0</v>
      </c>
      <c r="BA19" s="74"/>
      <c r="BB19" s="82">
        <f t="shared" si="3"/>
        <v>27300</v>
      </c>
      <c r="BD19" s="122">
        <f t="shared" si="4"/>
        <v>0</v>
      </c>
      <c r="BE19" s="122">
        <f t="shared" si="5"/>
        <v>0</v>
      </c>
      <c r="BG19" s="6"/>
      <c r="BH19" s="6"/>
      <c r="BI19" s="131"/>
      <c r="BL19" s="110">
        <v>0</v>
      </c>
      <c r="BM19" s="74">
        <f t="shared" si="7"/>
        <v>0</v>
      </c>
      <c r="BN19" s="74">
        <f t="shared" si="8"/>
        <v>0</v>
      </c>
      <c r="BO19" s="145"/>
      <c r="BP19" s="145"/>
      <c r="BQ19" s="24"/>
    </row>
    <row r="20" spans="1:72" x14ac:dyDescent="0.25">
      <c r="A20" s="6">
        <v>50250</v>
      </c>
      <c r="B20" s="35" t="s">
        <v>60</v>
      </c>
      <c r="C20" s="74">
        <v>1860</v>
      </c>
      <c r="D20" s="74">
        <v>0</v>
      </c>
      <c r="E20" s="74">
        <v>0</v>
      </c>
      <c r="F20" s="74">
        <v>720</v>
      </c>
      <c r="G20" s="74">
        <v>2880</v>
      </c>
      <c r="H20" s="74">
        <v>2160</v>
      </c>
      <c r="I20" s="74">
        <v>1440</v>
      </c>
      <c r="J20" s="74">
        <v>0</v>
      </c>
      <c r="K20" s="74">
        <v>2160</v>
      </c>
      <c r="L20" s="74">
        <f t="shared" si="6"/>
        <v>11220</v>
      </c>
      <c r="M20" s="74"/>
      <c r="N20" s="78">
        <v>0</v>
      </c>
      <c r="O20" s="78">
        <v>0</v>
      </c>
      <c r="P20" s="74">
        <v>0</v>
      </c>
      <c r="Q20" s="74">
        <v>0</v>
      </c>
      <c r="R20" s="78">
        <v>0</v>
      </c>
      <c r="S20" s="78">
        <v>0</v>
      </c>
      <c r="T20" s="74">
        <v>0</v>
      </c>
      <c r="U20" s="74">
        <v>0</v>
      </c>
      <c r="V20" s="78">
        <v>0</v>
      </c>
      <c r="W20" s="78">
        <v>0</v>
      </c>
      <c r="X20" s="110">
        <v>0</v>
      </c>
      <c r="Y20" s="110">
        <v>0</v>
      </c>
      <c r="Z20" s="78">
        <v>1440</v>
      </c>
      <c r="AA20" s="79">
        <v>0</v>
      </c>
      <c r="AB20" s="110">
        <v>0</v>
      </c>
      <c r="AC20" s="110">
        <v>0</v>
      </c>
      <c r="AD20" s="80">
        <v>0</v>
      </c>
      <c r="AE20" s="80">
        <v>0</v>
      </c>
      <c r="AF20" s="78">
        <v>0</v>
      </c>
      <c r="AG20" s="112">
        <v>0</v>
      </c>
      <c r="AH20" s="81">
        <v>0</v>
      </c>
      <c r="AI20" s="81">
        <v>0</v>
      </c>
      <c r="AJ20" s="110">
        <v>0</v>
      </c>
      <c r="AK20" s="110">
        <v>0</v>
      </c>
      <c r="AL20" s="78">
        <v>0</v>
      </c>
      <c r="AM20" s="78">
        <v>0</v>
      </c>
      <c r="AN20" s="110">
        <v>0</v>
      </c>
      <c r="AO20" s="114">
        <v>0</v>
      </c>
      <c r="AP20" s="78">
        <v>0</v>
      </c>
      <c r="AQ20" s="78">
        <v>0</v>
      </c>
      <c r="AR20" s="110">
        <v>0</v>
      </c>
      <c r="AS20" s="110">
        <v>0</v>
      </c>
      <c r="AT20" s="78">
        <v>0</v>
      </c>
      <c r="AU20" s="78">
        <v>0</v>
      </c>
      <c r="AV20" s="110">
        <v>0</v>
      </c>
      <c r="AW20" s="110">
        <v>0</v>
      </c>
      <c r="AX20" s="74">
        <f t="shared" si="2"/>
        <v>1440</v>
      </c>
      <c r="AY20" s="74"/>
      <c r="AZ20" s="74">
        <v>1440</v>
      </c>
      <c r="BA20" s="74"/>
      <c r="BB20" s="82">
        <f t="shared" si="3"/>
        <v>14100</v>
      </c>
      <c r="BD20" s="122">
        <f t="shared" si="4"/>
        <v>1440</v>
      </c>
      <c r="BE20" s="122">
        <f t="shared" si="5"/>
        <v>0</v>
      </c>
      <c r="BG20" s="19"/>
      <c r="BH20" s="20"/>
      <c r="BI20" s="132"/>
      <c r="BL20" s="110">
        <v>1440</v>
      </c>
      <c r="BM20" s="74">
        <f t="shared" si="7"/>
        <v>0</v>
      </c>
      <c r="BN20" s="74">
        <f t="shared" si="8"/>
        <v>1465.6320000000001</v>
      </c>
      <c r="BO20" s="141">
        <v>1.78E-2</v>
      </c>
      <c r="BP20" s="141">
        <v>1.78E-2</v>
      </c>
      <c r="BQ20" s="7"/>
    </row>
    <row r="21" spans="1:72" x14ac:dyDescent="0.25">
      <c r="A21" s="6">
        <v>50265</v>
      </c>
      <c r="B21" s="35" t="s">
        <v>61</v>
      </c>
      <c r="C21" s="74">
        <v>1008</v>
      </c>
      <c r="D21" s="74">
        <v>1260</v>
      </c>
      <c r="E21" s="74">
        <v>0</v>
      </c>
      <c r="F21" s="74">
        <v>8328</v>
      </c>
      <c r="G21" s="74">
        <v>2532</v>
      </c>
      <c r="H21" s="74">
        <v>2532</v>
      </c>
      <c r="I21" s="74">
        <v>2292</v>
      </c>
      <c r="J21" s="74">
        <v>492</v>
      </c>
      <c r="K21" s="74">
        <v>1488</v>
      </c>
      <c r="L21" s="74">
        <f t="shared" si="6"/>
        <v>19932</v>
      </c>
      <c r="M21" s="74"/>
      <c r="N21" s="78">
        <v>0</v>
      </c>
      <c r="O21" s="78">
        <v>8500</v>
      </c>
      <c r="P21" s="74">
        <v>0</v>
      </c>
      <c r="Q21" s="74">
        <v>0</v>
      </c>
      <c r="R21" s="78">
        <v>0</v>
      </c>
      <c r="S21" s="78">
        <v>884</v>
      </c>
      <c r="T21" s="74">
        <v>0</v>
      </c>
      <c r="U21" s="74">
        <v>107</v>
      </c>
      <c r="V21" s="78">
        <v>0</v>
      </c>
      <c r="W21" s="78">
        <v>0</v>
      </c>
      <c r="X21" s="110">
        <v>0</v>
      </c>
      <c r="Y21" s="110">
        <v>1512</v>
      </c>
      <c r="Z21" s="78">
        <v>2532</v>
      </c>
      <c r="AA21" s="79">
        <v>0</v>
      </c>
      <c r="AB21" s="110">
        <v>0</v>
      </c>
      <c r="AC21" s="110">
        <v>9540</v>
      </c>
      <c r="AD21" s="80">
        <v>0</v>
      </c>
      <c r="AE21" s="80">
        <v>0</v>
      </c>
      <c r="AF21" s="78">
        <v>0</v>
      </c>
      <c r="AG21" s="112">
        <v>6135</v>
      </c>
      <c r="AH21" s="81">
        <v>0</v>
      </c>
      <c r="AI21" s="81">
        <v>0</v>
      </c>
      <c r="AJ21" s="110">
        <v>0</v>
      </c>
      <c r="AK21" s="110">
        <v>2074</v>
      </c>
      <c r="AL21" s="78">
        <v>0</v>
      </c>
      <c r="AM21" s="78">
        <v>231</v>
      </c>
      <c r="AN21" s="110">
        <v>0</v>
      </c>
      <c r="AO21" s="114">
        <v>2046</v>
      </c>
      <c r="AP21" s="78">
        <v>0</v>
      </c>
      <c r="AQ21" s="78">
        <v>927</v>
      </c>
      <c r="AR21" s="110">
        <v>0</v>
      </c>
      <c r="AS21" s="110">
        <v>3516</v>
      </c>
      <c r="AT21" s="78">
        <v>0</v>
      </c>
      <c r="AU21" s="78">
        <v>5388</v>
      </c>
      <c r="AV21" s="110">
        <v>0</v>
      </c>
      <c r="AW21" s="110">
        <v>5700</v>
      </c>
      <c r="AX21" s="74">
        <f t="shared" si="2"/>
        <v>49092</v>
      </c>
      <c r="AY21" s="74"/>
      <c r="AZ21" s="74">
        <v>1548</v>
      </c>
      <c r="BA21" s="74"/>
      <c r="BB21" s="82">
        <f t="shared" si="3"/>
        <v>70572</v>
      </c>
      <c r="BD21" s="122">
        <f t="shared" si="4"/>
        <v>2532</v>
      </c>
      <c r="BE21" s="122">
        <f t="shared" si="5"/>
        <v>46560</v>
      </c>
      <c r="BG21" s="6"/>
      <c r="BH21" s="25"/>
      <c r="BI21" s="132"/>
      <c r="BJ21" s="13"/>
      <c r="BL21" s="110">
        <v>2532</v>
      </c>
      <c r="BM21" s="74">
        <f t="shared" si="7"/>
        <v>46560</v>
      </c>
      <c r="BN21" s="74">
        <f t="shared" si="8"/>
        <v>54001.200000000004</v>
      </c>
      <c r="BO21" s="141">
        <v>0.1</v>
      </c>
      <c r="BP21" s="141">
        <v>0.1</v>
      </c>
      <c r="BQ21" s="26"/>
    </row>
    <row r="22" spans="1:72" s="13" customFormat="1" x14ac:dyDescent="0.25">
      <c r="A22" s="27"/>
      <c r="B22" s="119" t="s">
        <v>62</v>
      </c>
      <c r="C22" s="77">
        <f t="shared" ref="C22:AZ22" si="9">SUM(C8:C21)</f>
        <v>350472</v>
      </c>
      <c r="D22" s="77">
        <f t="shared" si="9"/>
        <v>138318</v>
      </c>
      <c r="E22" s="77">
        <f t="shared" si="9"/>
        <v>0</v>
      </c>
      <c r="F22" s="77">
        <f t="shared" si="9"/>
        <v>1283604</v>
      </c>
      <c r="G22" s="77">
        <f t="shared" si="9"/>
        <v>483189</v>
      </c>
      <c r="H22" s="77">
        <f t="shared" si="9"/>
        <v>347934</v>
      </c>
      <c r="I22" s="77">
        <f t="shared" si="9"/>
        <v>509412</v>
      </c>
      <c r="J22" s="77">
        <f t="shared" si="9"/>
        <v>133167</v>
      </c>
      <c r="K22" s="77">
        <f t="shared" si="9"/>
        <v>285576</v>
      </c>
      <c r="L22" s="77">
        <f t="shared" si="9"/>
        <v>3531672</v>
      </c>
      <c r="M22" s="96"/>
      <c r="N22" s="77">
        <f t="shared" si="9"/>
        <v>0</v>
      </c>
      <c r="O22" s="77">
        <f t="shared" si="9"/>
        <v>1232875</v>
      </c>
      <c r="P22" s="77">
        <f t="shared" si="9"/>
        <v>0</v>
      </c>
      <c r="Q22" s="77">
        <f t="shared" si="9"/>
        <v>0</v>
      </c>
      <c r="R22" s="77">
        <f t="shared" si="9"/>
        <v>0</v>
      </c>
      <c r="S22" s="77">
        <f t="shared" si="9"/>
        <v>128344</v>
      </c>
      <c r="T22" s="77">
        <f t="shared" si="9"/>
        <v>0</v>
      </c>
      <c r="U22" s="77">
        <f t="shared" si="9"/>
        <v>15434</v>
      </c>
      <c r="V22" s="77">
        <f t="shared" si="9"/>
        <v>0</v>
      </c>
      <c r="W22" s="77">
        <f t="shared" si="9"/>
        <v>0</v>
      </c>
      <c r="X22" s="77">
        <f t="shared" si="9"/>
        <v>0</v>
      </c>
      <c r="Y22" s="77">
        <f t="shared" si="9"/>
        <v>277590</v>
      </c>
      <c r="Z22" s="77">
        <f t="shared" si="9"/>
        <v>373110</v>
      </c>
      <c r="AA22" s="97">
        <f t="shared" si="9"/>
        <v>0</v>
      </c>
      <c r="AB22" s="77">
        <f t="shared" si="9"/>
        <v>0</v>
      </c>
      <c r="AC22" s="77">
        <f t="shared" si="9"/>
        <v>1362137</v>
      </c>
      <c r="AD22" s="77">
        <f t="shared" si="9"/>
        <v>0</v>
      </c>
      <c r="AE22" s="77">
        <f t="shared" si="9"/>
        <v>0</v>
      </c>
      <c r="AF22" s="77">
        <f t="shared" si="9"/>
        <v>0</v>
      </c>
      <c r="AG22" s="98">
        <f t="shared" si="9"/>
        <v>871070</v>
      </c>
      <c r="AH22" s="77">
        <f t="shared" si="9"/>
        <v>0</v>
      </c>
      <c r="AI22" s="77">
        <f t="shared" si="9"/>
        <v>0</v>
      </c>
      <c r="AJ22" s="77">
        <f t="shared" si="9"/>
        <v>0</v>
      </c>
      <c r="AK22" s="77">
        <f t="shared" si="9"/>
        <v>294366</v>
      </c>
      <c r="AL22" s="77">
        <f t="shared" si="9"/>
        <v>0</v>
      </c>
      <c r="AM22" s="77">
        <f t="shared" si="9"/>
        <v>32789</v>
      </c>
      <c r="AN22" s="77">
        <f t="shared" si="9"/>
        <v>0</v>
      </c>
      <c r="AO22" s="98">
        <f t="shared" si="9"/>
        <v>290347</v>
      </c>
      <c r="AP22" s="77">
        <f t="shared" si="9"/>
        <v>0</v>
      </c>
      <c r="AQ22" s="77">
        <f t="shared" si="9"/>
        <v>131653</v>
      </c>
      <c r="AR22" s="77">
        <f t="shared" si="9"/>
        <v>0</v>
      </c>
      <c r="AS22" s="77">
        <f t="shared" si="9"/>
        <v>575502</v>
      </c>
      <c r="AT22" s="77">
        <f t="shared" si="9"/>
        <v>0</v>
      </c>
      <c r="AU22" s="77">
        <f t="shared" si="9"/>
        <v>1006831</v>
      </c>
      <c r="AV22" s="77">
        <f t="shared" si="9"/>
        <v>0</v>
      </c>
      <c r="AW22" s="77">
        <f t="shared" si="9"/>
        <v>1232376</v>
      </c>
      <c r="AX22" s="77">
        <f t="shared" si="9"/>
        <v>7824424</v>
      </c>
      <c r="AY22" s="96"/>
      <c r="AZ22" s="77">
        <f t="shared" si="9"/>
        <v>288429</v>
      </c>
      <c r="BA22" s="96"/>
      <c r="BB22" s="99">
        <f>SUM(BB8:BB21)</f>
        <v>11644525</v>
      </c>
      <c r="BC22" s="31"/>
      <c r="BD22" s="30">
        <f>SUM(BD8:BD21)</f>
        <v>373110</v>
      </c>
      <c r="BE22" s="30">
        <f>SUM(BE8:BE21)</f>
        <v>7451314</v>
      </c>
      <c r="BF22" s="31"/>
      <c r="BG22" s="19"/>
      <c r="BH22" s="20"/>
      <c r="BI22" s="132"/>
      <c r="BJ22" s="5"/>
      <c r="BK22" s="5"/>
      <c r="BL22" s="77">
        <f t="shared" ref="BL22:BN22" si="10">SUM(BL8:BL21)</f>
        <v>373110</v>
      </c>
      <c r="BM22" s="77">
        <f t="shared" si="10"/>
        <v>7451314</v>
      </c>
      <c r="BN22" s="77">
        <f t="shared" si="10"/>
        <v>8222645.4999000011</v>
      </c>
      <c r="BO22" s="141"/>
      <c r="BP22" s="141"/>
      <c r="BQ22" s="7"/>
      <c r="BR22" s="5"/>
      <c r="BS22" s="5"/>
      <c r="BT22" s="5"/>
    </row>
    <row r="23" spans="1:72" x14ac:dyDescent="0.25">
      <c r="B23" s="6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8"/>
      <c r="O23" s="78"/>
      <c r="P23" s="74"/>
      <c r="Q23" s="74"/>
      <c r="R23" s="78"/>
      <c r="S23" s="78"/>
      <c r="T23" s="74"/>
      <c r="U23" s="74"/>
      <c r="V23" s="78"/>
      <c r="W23" s="78"/>
      <c r="X23" s="110"/>
      <c r="Y23" s="110"/>
      <c r="Z23" s="78"/>
      <c r="AA23" s="79"/>
      <c r="AB23" s="110"/>
      <c r="AC23" s="110"/>
      <c r="AD23" s="80"/>
      <c r="AE23" s="80"/>
      <c r="AF23" s="78"/>
      <c r="AG23" s="112"/>
      <c r="AH23" s="81"/>
      <c r="AI23" s="81"/>
      <c r="AJ23" s="110"/>
      <c r="AK23" s="110"/>
      <c r="AL23" s="78"/>
      <c r="AM23" s="78"/>
      <c r="AN23" s="110"/>
      <c r="AO23" s="114"/>
      <c r="AP23" s="78"/>
      <c r="AQ23" s="78"/>
      <c r="AR23" s="110"/>
      <c r="AS23" s="110"/>
      <c r="AT23" s="78"/>
      <c r="AU23" s="78"/>
      <c r="AV23" s="110"/>
      <c r="AW23" s="110"/>
      <c r="AX23" s="74"/>
      <c r="AY23" s="74"/>
      <c r="AZ23" s="74"/>
      <c r="BA23" s="74"/>
      <c r="BB23" s="82"/>
      <c r="BG23" s="19"/>
      <c r="BH23" s="20"/>
      <c r="BI23" s="132"/>
      <c r="BL23" s="74"/>
      <c r="BM23" s="74"/>
      <c r="BN23" s="74"/>
      <c r="BQ23" s="7"/>
    </row>
    <row r="24" spans="1:72" x14ac:dyDescent="0.25">
      <c r="A24" s="6">
        <v>50301</v>
      </c>
      <c r="B24" s="35" t="s">
        <v>63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f t="shared" ref="L24:L78" si="11">+SUM(C24:K24)</f>
        <v>0</v>
      </c>
      <c r="M24" s="74"/>
      <c r="N24" s="78">
        <v>0</v>
      </c>
      <c r="O24" s="78">
        <v>0</v>
      </c>
      <c r="P24" s="74">
        <v>0</v>
      </c>
      <c r="Q24" s="74">
        <v>0</v>
      </c>
      <c r="R24" s="78">
        <v>0</v>
      </c>
      <c r="S24" s="78">
        <v>0</v>
      </c>
      <c r="T24" s="74">
        <v>0</v>
      </c>
      <c r="U24" s="74">
        <v>0</v>
      </c>
      <c r="V24" s="78">
        <v>0</v>
      </c>
      <c r="W24" s="78">
        <v>0</v>
      </c>
      <c r="X24" s="110">
        <v>0</v>
      </c>
      <c r="Y24" s="110">
        <v>0</v>
      </c>
      <c r="Z24" s="78">
        <v>0</v>
      </c>
      <c r="AA24" s="79">
        <v>0</v>
      </c>
      <c r="AB24" s="110">
        <v>0</v>
      </c>
      <c r="AC24" s="110">
        <v>0</v>
      </c>
      <c r="AD24" s="80">
        <v>0</v>
      </c>
      <c r="AE24" s="80">
        <v>0</v>
      </c>
      <c r="AF24" s="78">
        <v>0</v>
      </c>
      <c r="AG24" s="112">
        <v>0</v>
      </c>
      <c r="AH24" s="81">
        <v>0</v>
      </c>
      <c r="AI24" s="81">
        <v>0</v>
      </c>
      <c r="AJ24" s="110">
        <v>0</v>
      </c>
      <c r="AK24" s="110">
        <v>0</v>
      </c>
      <c r="AL24" s="78">
        <v>0</v>
      </c>
      <c r="AM24" s="78">
        <v>0</v>
      </c>
      <c r="AN24" s="110">
        <v>0</v>
      </c>
      <c r="AO24" s="114">
        <v>0</v>
      </c>
      <c r="AP24" s="78">
        <v>0</v>
      </c>
      <c r="AQ24" s="78">
        <v>0</v>
      </c>
      <c r="AR24" s="110">
        <v>0</v>
      </c>
      <c r="AS24" s="110">
        <v>0</v>
      </c>
      <c r="AT24" s="78">
        <v>0</v>
      </c>
      <c r="AU24" s="78">
        <v>0</v>
      </c>
      <c r="AV24" s="110">
        <v>0</v>
      </c>
      <c r="AW24" s="110">
        <v>0</v>
      </c>
      <c r="AX24" s="74">
        <f t="shared" ref="AX24:AX55" si="12">SUM(N24:AW24)</f>
        <v>0</v>
      </c>
      <c r="AY24" s="74"/>
      <c r="AZ24" s="74">
        <v>0</v>
      </c>
      <c r="BA24" s="74"/>
      <c r="BB24" s="82">
        <f t="shared" ref="BB24:BB78" si="13">L24+AX24+AZ24</f>
        <v>0</v>
      </c>
      <c r="BD24" s="122">
        <f t="shared" ref="BD24:BD78" si="14">+AV24+AT24+AR24+AP24+AN24+AL24+AJ24+AH24+AF24+AD24+AB24+AA24+Z24+X24+V24+T24+R24+P24+N24</f>
        <v>0</v>
      </c>
      <c r="BE24" s="122">
        <f t="shared" ref="BE24:BE78" si="15">AW24+AU24+AS24+AQ24+AO24+AM24+AK24+AI24+AG24+AE24+AC24+Y24+U24+S24+Q24+O24</f>
        <v>0</v>
      </c>
      <c r="BG24" s="19"/>
      <c r="BH24" s="20"/>
      <c r="BI24" s="132"/>
      <c r="BL24" s="74"/>
      <c r="BM24" s="74">
        <v>0</v>
      </c>
      <c r="BN24" s="74">
        <f>BM24*(1+BO24)</f>
        <v>0</v>
      </c>
      <c r="BO24" s="141">
        <v>1.78E-2</v>
      </c>
      <c r="BQ24" s="7"/>
    </row>
    <row r="25" spans="1:72" x14ac:dyDescent="0.25">
      <c r="A25" s="6">
        <v>50302</v>
      </c>
      <c r="B25" s="35" t="s">
        <v>64</v>
      </c>
      <c r="C25" s="74">
        <v>0</v>
      </c>
      <c r="D25" s="74">
        <v>0</v>
      </c>
      <c r="E25" s="74">
        <v>0</v>
      </c>
      <c r="F25" s="74">
        <v>1000</v>
      </c>
      <c r="G25" s="74">
        <v>0</v>
      </c>
      <c r="H25" s="74">
        <v>65850</v>
      </c>
      <c r="I25" s="74">
        <v>0</v>
      </c>
      <c r="J25" s="74">
        <v>7500</v>
      </c>
      <c r="K25" s="74">
        <v>0</v>
      </c>
      <c r="L25" s="74">
        <f t="shared" si="11"/>
        <v>74350</v>
      </c>
      <c r="M25" s="74"/>
      <c r="N25" s="78">
        <v>0</v>
      </c>
      <c r="O25" s="78">
        <v>0</v>
      </c>
      <c r="P25" s="74">
        <v>0</v>
      </c>
      <c r="Q25" s="74">
        <v>0</v>
      </c>
      <c r="R25" s="78">
        <v>0</v>
      </c>
      <c r="S25" s="78">
        <v>0</v>
      </c>
      <c r="T25" s="74">
        <v>0</v>
      </c>
      <c r="U25" s="74">
        <v>0</v>
      </c>
      <c r="V25" s="78">
        <v>0</v>
      </c>
      <c r="W25" s="78">
        <v>0</v>
      </c>
      <c r="X25" s="110">
        <v>0</v>
      </c>
      <c r="Y25" s="110">
        <v>4800</v>
      </c>
      <c r="Z25" s="78">
        <v>0</v>
      </c>
      <c r="AA25" s="79">
        <v>0</v>
      </c>
      <c r="AB25" s="110">
        <v>0</v>
      </c>
      <c r="AC25" s="110">
        <v>0</v>
      </c>
      <c r="AD25" s="80">
        <v>0</v>
      </c>
      <c r="AE25" s="80">
        <v>0</v>
      </c>
      <c r="AF25" s="78">
        <v>0</v>
      </c>
      <c r="AG25" s="112">
        <v>0</v>
      </c>
      <c r="AH25" s="81">
        <v>0</v>
      </c>
      <c r="AI25" s="81">
        <v>0</v>
      </c>
      <c r="AJ25" s="110">
        <v>0</v>
      </c>
      <c r="AK25" s="110">
        <v>0</v>
      </c>
      <c r="AL25" s="78">
        <v>0</v>
      </c>
      <c r="AM25" s="78">
        <v>0</v>
      </c>
      <c r="AN25" s="110">
        <v>0</v>
      </c>
      <c r="AO25" s="114">
        <v>0</v>
      </c>
      <c r="AP25" s="78">
        <v>0</v>
      </c>
      <c r="AQ25" s="78">
        <v>0</v>
      </c>
      <c r="AR25" s="110">
        <v>0</v>
      </c>
      <c r="AS25" s="110">
        <v>0</v>
      </c>
      <c r="AT25" s="78">
        <v>0</v>
      </c>
      <c r="AU25" s="78">
        <v>0</v>
      </c>
      <c r="AV25" s="110">
        <v>0</v>
      </c>
      <c r="AW25" s="110">
        <v>0</v>
      </c>
      <c r="AX25" s="74">
        <f t="shared" si="12"/>
        <v>4800</v>
      </c>
      <c r="AY25" s="74"/>
      <c r="AZ25" s="74">
        <v>0</v>
      </c>
      <c r="BA25" s="74"/>
      <c r="BB25" s="82">
        <f t="shared" si="13"/>
        <v>79150</v>
      </c>
      <c r="BD25" s="122">
        <f t="shared" si="14"/>
        <v>0</v>
      </c>
      <c r="BE25" s="122">
        <f t="shared" si="15"/>
        <v>4800</v>
      </c>
      <c r="BG25" s="23"/>
      <c r="BH25" s="20"/>
      <c r="BI25" s="134"/>
      <c r="BL25" s="74"/>
      <c r="BM25" s="74">
        <v>4800</v>
      </c>
      <c r="BN25" s="74">
        <f t="shared" ref="BN25:BN78" si="16">BM25*(1+BO25)</f>
        <v>4885.4400000000005</v>
      </c>
      <c r="BO25" s="141">
        <v>1.78E-2</v>
      </c>
      <c r="BQ25" s="7"/>
    </row>
    <row r="26" spans="1:72" x14ac:dyDescent="0.25">
      <c r="A26" s="6">
        <v>50305</v>
      </c>
      <c r="B26" s="35" t="s">
        <v>65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f t="shared" si="11"/>
        <v>0</v>
      </c>
      <c r="M26" s="74"/>
      <c r="N26" s="78">
        <v>0</v>
      </c>
      <c r="O26" s="78">
        <v>0</v>
      </c>
      <c r="P26" s="74">
        <v>0</v>
      </c>
      <c r="Q26" s="74">
        <v>0</v>
      </c>
      <c r="R26" s="78">
        <v>0</v>
      </c>
      <c r="S26" s="78">
        <v>0</v>
      </c>
      <c r="T26" s="74">
        <v>0</v>
      </c>
      <c r="U26" s="74">
        <v>0</v>
      </c>
      <c r="V26" s="78">
        <v>0</v>
      </c>
      <c r="W26" s="78">
        <v>0</v>
      </c>
      <c r="X26" s="110">
        <v>0</v>
      </c>
      <c r="Y26" s="110">
        <v>0</v>
      </c>
      <c r="Z26" s="78">
        <v>0</v>
      </c>
      <c r="AA26" s="79">
        <v>0</v>
      </c>
      <c r="AB26" s="110">
        <v>0</v>
      </c>
      <c r="AC26" s="110">
        <v>0</v>
      </c>
      <c r="AD26" s="80">
        <v>0</v>
      </c>
      <c r="AE26" s="80">
        <v>0</v>
      </c>
      <c r="AF26" s="78">
        <v>0</v>
      </c>
      <c r="AG26" s="112">
        <v>0</v>
      </c>
      <c r="AH26" s="81">
        <v>0</v>
      </c>
      <c r="AI26" s="81">
        <v>0</v>
      </c>
      <c r="AJ26" s="110">
        <v>0</v>
      </c>
      <c r="AK26" s="110">
        <v>0</v>
      </c>
      <c r="AL26" s="78">
        <v>0</v>
      </c>
      <c r="AM26" s="78">
        <v>0</v>
      </c>
      <c r="AN26" s="110">
        <v>0</v>
      </c>
      <c r="AO26" s="114">
        <v>0</v>
      </c>
      <c r="AP26" s="78">
        <v>0</v>
      </c>
      <c r="AQ26" s="78">
        <v>0</v>
      </c>
      <c r="AR26" s="110">
        <v>0</v>
      </c>
      <c r="AS26" s="110">
        <v>0</v>
      </c>
      <c r="AT26" s="78">
        <v>0</v>
      </c>
      <c r="AU26" s="78">
        <v>0</v>
      </c>
      <c r="AV26" s="110">
        <v>4800</v>
      </c>
      <c r="AW26" s="110">
        <v>0</v>
      </c>
      <c r="AX26" s="74">
        <f t="shared" si="12"/>
        <v>4800</v>
      </c>
      <c r="AY26" s="74"/>
      <c r="AZ26" s="74">
        <v>0</v>
      </c>
      <c r="BA26" s="74"/>
      <c r="BB26" s="82">
        <f t="shared" si="13"/>
        <v>4800</v>
      </c>
      <c r="BD26" s="122">
        <f t="shared" si="14"/>
        <v>4800</v>
      </c>
      <c r="BE26" s="122">
        <f t="shared" si="15"/>
        <v>0</v>
      </c>
      <c r="BG26" s="23"/>
      <c r="BH26" s="20"/>
      <c r="BI26" s="32"/>
      <c r="BL26" s="74"/>
      <c r="BM26" s="74">
        <v>4800</v>
      </c>
      <c r="BN26" s="74">
        <f t="shared" si="16"/>
        <v>4885.4400000000005</v>
      </c>
      <c r="BO26" s="141">
        <v>1.78E-2</v>
      </c>
      <c r="BQ26" s="26"/>
    </row>
    <row r="27" spans="1:72" x14ac:dyDescent="0.25">
      <c r="A27" s="6">
        <v>50306</v>
      </c>
      <c r="B27" s="35" t="s">
        <v>66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f t="shared" si="11"/>
        <v>0</v>
      </c>
      <c r="M27" s="74"/>
      <c r="N27" s="78">
        <v>0</v>
      </c>
      <c r="O27" s="78">
        <v>7383</v>
      </c>
      <c r="P27" s="74">
        <v>0</v>
      </c>
      <c r="Q27" s="74">
        <v>0</v>
      </c>
      <c r="R27" s="78">
        <v>0</v>
      </c>
      <c r="S27" s="78">
        <v>1180</v>
      </c>
      <c r="T27" s="74">
        <v>0</v>
      </c>
      <c r="U27" s="74">
        <v>150</v>
      </c>
      <c r="V27" s="78">
        <v>0</v>
      </c>
      <c r="W27" s="78">
        <v>0</v>
      </c>
      <c r="X27" s="110">
        <v>0</v>
      </c>
      <c r="Y27" s="110">
        <v>0</v>
      </c>
      <c r="Z27" s="78">
        <v>0</v>
      </c>
      <c r="AA27" s="79">
        <v>0</v>
      </c>
      <c r="AB27" s="110">
        <v>0</v>
      </c>
      <c r="AC27" s="110">
        <v>8659</v>
      </c>
      <c r="AD27" s="80">
        <v>0</v>
      </c>
      <c r="AE27" s="80">
        <v>0</v>
      </c>
      <c r="AF27" s="78">
        <v>0</v>
      </c>
      <c r="AG27" s="112">
        <v>6360</v>
      </c>
      <c r="AH27" s="81">
        <v>0</v>
      </c>
      <c r="AI27" s="81">
        <v>0</v>
      </c>
      <c r="AJ27" s="110">
        <v>0</v>
      </c>
      <c r="AK27" s="110">
        <v>1826</v>
      </c>
      <c r="AL27" s="78">
        <v>0</v>
      </c>
      <c r="AM27" s="78">
        <v>231</v>
      </c>
      <c r="AN27" s="110">
        <v>0</v>
      </c>
      <c r="AO27" s="114">
        <v>1246</v>
      </c>
      <c r="AP27" s="78">
        <v>0</v>
      </c>
      <c r="AQ27" s="78">
        <v>1911</v>
      </c>
      <c r="AR27" s="110">
        <v>0</v>
      </c>
      <c r="AS27" s="110">
        <v>0</v>
      </c>
      <c r="AT27" s="78">
        <v>0</v>
      </c>
      <c r="AU27" s="78">
        <v>0</v>
      </c>
      <c r="AV27" s="110">
        <v>0</v>
      </c>
      <c r="AW27" s="110">
        <v>13500</v>
      </c>
      <c r="AX27" s="74">
        <f t="shared" si="12"/>
        <v>42446</v>
      </c>
      <c r="AY27" s="74"/>
      <c r="AZ27" s="74">
        <v>0</v>
      </c>
      <c r="BA27" s="74"/>
      <c r="BB27" s="82">
        <f t="shared" si="13"/>
        <v>42446</v>
      </c>
      <c r="BD27" s="122">
        <f t="shared" si="14"/>
        <v>0</v>
      </c>
      <c r="BE27" s="122">
        <f t="shared" si="15"/>
        <v>42446</v>
      </c>
      <c r="BG27" s="6"/>
      <c r="BH27" s="6"/>
      <c r="BI27" s="6"/>
      <c r="BL27" s="74"/>
      <c r="BM27" s="74">
        <v>42446</v>
      </c>
      <c r="BN27" s="74">
        <f t="shared" si="16"/>
        <v>43201.538800000002</v>
      </c>
      <c r="BO27" s="141">
        <v>1.78E-2</v>
      </c>
      <c r="BQ27" s="7"/>
    </row>
    <row r="28" spans="1:72" x14ac:dyDescent="0.25">
      <c r="A28" s="6">
        <v>50307</v>
      </c>
      <c r="B28" s="35" t="s">
        <v>67</v>
      </c>
      <c r="C28" s="74">
        <v>0</v>
      </c>
      <c r="D28" s="74">
        <v>0</v>
      </c>
      <c r="E28" s="74">
        <v>0</v>
      </c>
      <c r="F28" s="74">
        <v>15000</v>
      </c>
      <c r="G28" s="74">
        <v>0</v>
      </c>
      <c r="H28" s="74">
        <v>0</v>
      </c>
      <c r="I28" s="74">
        <v>0</v>
      </c>
      <c r="J28" s="74">
        <v>2400</v>
      </c>
      <c r="K28" s="74">
        <v>0</v>
      </c>
      <c r="L28" s="74">
        <f t="shared" si="11"/>
        <v>17400</v>
      </c>
      <c r="M28" s="74"/>
      <c r="N28" s="78">
        <v>0</v>
      </c>
      <c r="O28" s="78">
        <v>0</v>
      </c>
      <c r="P28" s="74">
        <v>0</v>
      </c>
      <c r="Q28" s="74">
        <v>0</v>
      </c>
      <c r="R28" s="78">
        <v>0</v>
      </c>
      <c r="S28" s="78">
        <v>0</v>
      </c>
      <c r="T28" s="74">
        <v>0</v>
      </c>
      <c r="U28" s="74">
        <v>0</v>
      </c>
      <c r="V28" s="78">
        <v>0</v>
      </c>
      <c r="W28" s="78">
        <v>0</v>
      </c>
      <c r="X28" s="110">
        <v>0</v>
      </c>
      <c r="Y28" s="110">
        <v>44300</v>
      </c>
      <c r="Z28" s="78">
        <v>0</v>
      </c>
      <c r="AA28" s="79">
        <v>0</v>
      </c>
      <c r="AB28" s="110">
        <v>0</v>
      </c>
      <c r="AC28" s="110">
        <v>0</v>
      </c>
      <c r="AD28" s="80">
        <v>0</v>
      </c>
      <c r="AE28" s="80">
        <v>0</v>
      </c>
      <c r="AF28" s="78">
        <v>0</v>
      </c>
      <c r="AG28" s="112">
        <v>0</v>
      </c>
      <c r="AH28" s="81">
        <v>0</v>
      </c>
      <c r="AI28" s="81">
        <v>0</v>
      </c>
      <c r="AJ28" s="110">
        <v>0</v>
      </c>
      <c r="AK28" s="110">
        <v>0</v>
      </c>
      <c r="AL28" s="78">
        <v>0</v>
      </c>
      <c r="AM28" s="78">
        <v>0</v>
      </c>
      <c r="AN28" s="110">
        <v>0</v>
      </c>
      <c r="AO28" s="114">
        <v>0</v>
      </c>
      <c r="AP28" s="78">
        <v>0</v>
      </c>
      <c r="AQ28" s="78">
        <v>0</v>
      </c>
      <c r="AR28" s="110">
        <v>0</v>
      </c>
      <c r="AS28" s="110">
        <v>0</v>
      </c>
      <c r="AT28" s="78">
        <v>0</v>
      </c>
      <c r="AU28" s="78">
        <v>0</v>
      </c>
      <c r="AV28" s="110">
        <v>0</v>
      </c>
      <c r="AW28" s="110">
        <v>0</v>
      </c>
      <c r="AX28" s="74">
        <f t="shared" si="12"/>
        <v>44300</v>
      </c>
      <c r="AY28" s="74"/>
      <c r="AZ28" s="74">
        <v>0</v>
      </c>
      <c r="BA28" s="74"/>
      <c r="BB28" s="82">
        <f t="shared" si="13"/>
        <v>61700</v>
      </c>
      <c r="BD28" s="122">
        <f t="shared" si="14"/>
        <v>0</v>
      </c>
      <c r="BE28" s="122">
        <f t="shared" si="15"/>
        <v>44300</v>
      </c>
      <c r="BG28" s="23"/>
      <c r="BH28" s="20"/>
      <c r="BI28" s="21"/>
      <c r="BL28" s="74"/>
      <c r="BM28" s="74">
        <v>44300</v>
      </c>
      <c r="BN28" s="74">
        <f t="shared" si="16"/>
        <v>45088.54</v>
      </c>
      <c r="BO28" s="141">
        <v>1.78E-2</v>
      </c>
      <c r="BQ28" s="7"/>
    </row>
    <row r="29" spans="1:72" x14ac:dyDescent="0.25">
      <c r="A29" s="6">
        <v>50308</v>
      </c>
      <c r="B29" s="35" t="s">
        <v>68</v>
      </c>
      <c r="C29" s="74">
        <v>0</v>
      </c>
      <c r="D29" s="74">
        <v>0</v>
      </c>
      <c r="E29" s="74">
        <v>0</v>
      </c>
      <c r="F29" s="74">
        <v>66840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f t="shared" si="11"/>
        <v>66840</v>
      </c>
      <c r="M29" s="74"/>
      <c r="N29" s="78">
        <v>0</v>
      </c>
      <c r="O29" s="78">
        <v>0</v>
      </c>
      <c r="P29" s="74">
        <v>0</v>
      </c>
      <c r="Q29" s="74">
        <v>0</v>
      </c>
      <c r="R29" s="78">
        <v>0</v>
      </c>
      <c r="S29" s="78">
        <v>0</v>
      </c>
      <c r="T29" s="74">
        <v>0</v>
      </c>
      <c r="U29" s="74">
        <v>0</v>
      </c>
      <c r="V29" s="78">
        <v>0</v>
      </c>
      <c r="W29" s="78">
        <v>0</v>
      </c>
      <c r="X29" s="110">
        <v>0</v>
      </c>
      <c r="Y29" s="110">
        <v>0</v>
      </c>
      <c r="Z29" s="78">
        <v>0</v>
      </c>
      <c r="AA29" s="79">
        <v>0</v>
      </c>
      <c r="AB29" s="110">
        <v>0</v>
      </c>
      <c r="AC29" s="110">
        <v>0</v>
      </c>
      <c r="AD29" s="80">
        <v>0</v>
      </c>
      <c r="AE29" s="80">
        <v>0</v>
      </c>
      <c r="AF29" s="78">
        <v>0</v>
      </c>
      <c r="AG29" s="112">
        <v>0</v>
      </c>
      <c r="AH29" s="81">
        <v>0</v>
      </c>
      <c r="AI29" s="81">
        <v>0</v>
      </c>
      <c r="AJ29" s="110">
        <v>0</v>
      </c>
      <c r="AK29" s="110">
        <v>0</v>
      </c>
      <c r="AL29" s="78">
        <v>0</v>
      </c>
      <c r="AM29" s="78">
        <v>0</v>
      </c>
      <c r="AN29" s="110">
        <v>0</v>
      </c>
      <c r="AO29" s="114">
        <v>0</v>
      </c>
      <c r="AP29" s="78">
        <v>0</v>
      </c>
      <c r="AQ29" s="78">
        <v>0</v>
      </c>
      <c r="AR29" s="110">
        <v>0</v>
      </c>
      <c r="AS29" s="110">
        <v>0</v>
      </c>
      <c r="AT29" s="78">
        <v>0</v>
      </c>
      <c r="AU29" s="78">
        <v>0</v>
      </c>
      <c r="AV29" s="110">
        <v>0</v>
      </c>
      <c r="AW29" s="110">
        <v>0</v>
      </c>
      <c r="AX29" s="74">
        <f t="shared" si="12"/>
        <v>0</v>
      </c>
      <c r="AY29" s="74"/>
      <c r="AZ29" s="74">
        <v>0</v>
      </c>
      <c r="BA29" s="74"/>
      <c r="BB29" s="82">
        <f t="shared" si="13"/>
        <v>66840</v>
      </c>
      <c r="BD29" s="122">
        <f t="shared" si="14"/>
        <v>0</v>
      </c>
      <c r="BE29" s="122">
        <f t="shared" si="15"/>
        <v>0</v>
      </c>
      <c r="BG29" s="19"/>
      <c r="BH29" s="20"/>
      <c r="BI29" s="21"/>
      <c r="BL29" s="74"/>
      <c r="BM29" s="74">
        <v>0</v>
      </c>
      <c r="BN29" s="74">
        <f t="shared" si="16"/>
        <v>0</v>
      </c>
      <c r="BO29" s="141">
        <v>1.78E-2</v>
      </c>
      <c r="BQ29" s="7"/>
    </row>
    <row r="30" spans="1:72" x14ac:dyDescent="0.25">
      <c r="A30" s="6">
        <v>50309</v>
      </c>
      <c r="B30" s="35" t="s">
        <v>69</v>
      </c>
      <c r="C30" s="74">
        <v>298000</v>
      </c>
      <c r="D30" s="74">
        <v>0</v>
      </c>
      <c r="E30" s="74">
        <v>16000</v>
      </c>
      <c r="F30" s="74">
        <f>175960+30600</f>
        <v>206560</v>
      </c>
      <c r="G30" s="74">
        <f>200000+400000</f>
        <v>600000</v>
      </c>
      <c r="H30" s="74">
        <v>101800</v>
      </c>
      <c r="I30" s="74">
        <v>0</v>
      </c>
      <c r="J30" s="74">
        <v>28000</v>
      </c>
      <c r="K30" s="74">
        <v>34592</v>
      </c>
      <c r="L30" s="74">
        <f t="shared" si="11"/>
        <v>1284952</v>
      </c>
      <c r="M30" s="74"/>
      <c r="N30" s="78">
        <v>0</v>
      </c>
      <c r="O30" s="78">
        <v>0</v>
      </c>
      <c r="P30" s="74">
        <v>0</v>
      </c>
      <c r="Q30" s="74">
        <v>0</v>
      </c>
      <c r="R30" s="78">
        <v>0</v>
      </c>
      <c r="S30" s="78">
        <v>0</v>
      </c>
      <c r="T30" s="74">
        <v>0</v>
      </c>
      <c r="U30" s="74">
        <v>0</v>
      </c>
      <c r="V30" s="78">
        <v>0</v>
      </c>
      <c r="W30" s="78">
        <v>0</v>
      </c>
      <c r="X30" s="110">
        <v>289440</v>
      </c>
      <c r="Y30" s="110">
        <v>171600</v>
      </c>
      <c r="Z30" s="78">
        <v>0</v>
      </c>
      <c r="AA30" s="79">
        <v>0</v>
      </c>
      <c r="AB30" s="110">
        <v>0</v>
      </c>
      <c r="AC30" s="110">
        <v>0</v>
      </c>
      <c r="AD30" s="80">
        <v>0</v>
      </c>
      <c r="AE30" s="80">
        <v>0</v>
      </c>
      <c r="AF30" s="78">
        <v>0</v>
      </c>
      <c r="AG30" s="112">
        <v>0</v>
      </c>
      <c r="AH30" s="81">
        <v>0</v>
      </c>
      <c r="AI30" s="81">
        <v>0</v>
      </c>
      <c r="AJ30" s="110">
        <v>0</v>
      </c>
      <c r="AK30" s="110">
        <v>0</v>
      </c>
      <c r="AL30" s="78">
        <v>0</v>
      </c>
      <c r="AM30" s="78">
        <v>0</v>
      </c>
      <c r="AN30" s="110">
        <v>0</v>
      </c>
      <c r="AO30" s="114">
        <v>0</v>
      </c>
      <c r="AP30" s="78">
        <v>0</v>
      </c>
      <c r="AQ30" s="78">
        <v>0</v>
      </c>
      <c r="AR30" s="110">
        <v>33000</v>
      </c>
      <c r="AS30" s="110">
        <v>0</v>
      </c>
      <c r="AT30" s="78">
        <v>0</v>
      </c>
      <c r="AU30" s="78">
        <v>0</v>
      </c>
      <c r="AV30" s="110">
        <v>0</v>
      </c>
      <c r="AW30" s="110">
        <v>0</v>
      </c>
      <c r="AX30" s="74">
        <f t="shared" si="12"/>
        <v>494040</v>
      </c>
      <c r="AY30" s="74"/>
      <c r="AZ30" s="74">
        <v>100000</v>
      </c>
      <c r="BA30" s="74"/>
      <c r="BB30" s="82">
        <f t="shared" si="13"/>
        <v>1878992</v>
      </c>
      <c r="BD30" s="122">
        <f t="shared" si="14"/>
        <v>322440</v>
      </c>
      <c r="BE30" s="122">
        <f t="shared" si="15"/>
        <v>171600</v>
      </c>
      <c r="BG30" s="23"/>
      <c r="BH30" s="20"/>
      <c r="BI30" s="21"/>
      <c r="BL30" s="74"/>
      <c r="BM30" s="74">
        <v>494040</v>
      </c>
      <c r="BN30" s="74">
        <f t="shared" si="16"/>
        <v>502833.91200000001</v>
      </c>
      <c r="BO30" s="141">
        <v>1.78E-2</v>
      </c>
      <c r="BQ30" s="7"/>
    </row>
    <row r="31" spans="1:72" x14ac:dyDescent="0.25">
      <c r="A31" s="6">
        <v>50310</v>
      </c>
      <c r="B31" s="35" t="s">
        <v>70</v>
      </c>
      <c r="C31" s="74">
        <v>0</v>
      </c>
      <c r="D31" s="74">
        <v>24880</v>
      </c>
      <c r="E31" s="74"/>
      <c r="F31" s="74">
        <v>0</v>
      </c>
      <c r="G31" s="74">
        <v>0</v>
      </c>
      <c r="H31" s="74">
        <v>4500</v>
      </c>
      <c r="I31" s="74">
        <v>0</v>
      </c>
      <c r="J31" s="74">
        <v>1000</v>
      </c>
      <c r="K31" s="74">
        <v>0</v>
      </c>
      <c r="L31" s="74">
        <f t="shared" si="11"/>
        <v>30380</v>
      </c>
      <c r="M31" s="74"/>
      <c r="N31" s="78">
        <v>0</v>
      </c>
      <c r="O31" s="78">
        <v>0</v>
      </c>
      <c r="P31" s="74">
        <v>0</v>
      </c>
      <c r="Q31" s="74">
        <v>0</v>
      </c>
      <c r="R31" s="78">
        <v>0</v>
      </c>
      <c r="S31" s="78">
        <v>0</v>
      </c>
      <c r="T31" s="74">
        <v>0</v>
      </c>
      <c r="U31" s="74">
        <v>0</v>
      </c>
      <c r="V31" s="78">
        <v>0</v>
      </c>
      <c r="W31" s="78">
        <v>0</v>
      </c>
      <c r="X31" s="110">
        <v>24540</v>
      </c>
      <c r="Y31" s="110">
        <v>36000</v>
      </c>
      <c r="Z31" s="78">
        <v>0</v>
      </c>
      <c r="AA31" s="79">
        <v>0</v>
      </c>
      <c r="AB31" s="110">
        <v>0</v>
      </c>
      <c r="AC31" s="110">
        <v>0</v>
      </c>
      <c r="AD31" s="80">
        <v>0</v>
      </c>
      <c r="AE31" s="80">
        <v>0</v>
      </c>
      <c r="AF31" s="78">
        <v>0</v>
      </c>
      <c r="AG31" s="112">
        <v>0</v>
      </c>
      <c r="AH31" s="81">
        <v>0</v>
      </c>
      <c r="AI31" s="81">
        <v>0</v>
      </c>
      <c r="AJ31" s="110">
        <v>0</v>
      </c>
      <c r="AK31" s="110">
        <v>0</v>
      </c>
      <c r="AL31" s="78">
        <v>0</v>
      </c>
      <c r="AM31" s="78">
        <v>0</v>
      </c>
      <c r="AN31" s="110">
        <v>0</v>
      </c>
      <c r="AO31" s="114">
        <v>0</v>
      </c>
      <c r="AP31" s="78">
        <v>0</v>
      </c>
      <c r="AQ31" s="78">
        <v>0</v>
      </c>
      <c r="AR31" s="110">
        <v>3360</v>
      </c>
      <c r="AS31" s="110">
        <v>0</v>
      </c>
      <c r="AT31" s="78">
        <v>0</v>
      </c>
      <c r="AU31" s="78">
        <v>0</v>
      </c>
      <c r="AV31" s="110">
        <v>25200</v>
      </c>
      <c r="AW31" s="110">
        <v>0</v>
      </c>
      <c r="AX31" s="74">
        <f t="shared" si="12"/>
        <v>89100</v>
      </c>
      <c r="AY31" s="74"/>
      <c r="AZ31" s="74">
        <v>120000</v>
      </c>
      <c r="BA31" s="74"/>
      <c r="BB31" s="82">
        <f t="shared" si="13"/>
        <v>239480</v>
      </c>
      <c r="BD31" s="122">
        <f t="shared" si="14"/>
        <v>53100</v>
      </c>
      <c r="BE31" s="122">
        <f t="shared" si="15"/>
        <v>36000</v>
      </c>
      <c r="BG31" s="19"/>
      <c r="BH31" s="20"/>
      <c r="BI31" s="21"/>
      <c r="BL31" s="74"/>
      <c r="BM31" s="74">
        <v>89100</v>
      </c>
      <c r="BN31" s="74">
        <f t="shared" si="16"/>
        <v>90685.98000000001</v>
      </c>
      <c r="BO31" s="141">
        <v>1.78E-2</v>
      </c>
      <c r="BQ31" s="7"/>
    </row>
    <row r="32" spans="1:72" x14ac:dyDescent="0.25">
      <c r="A32" s="6">
        <v>50311</v>
      </c>
      <c r="B32" s="35" t="s">
        <v>71</v>
      </c>
      <c r="C32" s="74">
        <v>0</v>
      </c>
      <c r="D32" s="74">
        <v>12900</v>
      </c>
      <c r="E32" s="74">
        <v>0</v>
      </c>
      <c r="F32" s="74">
        <v>0</v>
      </c>
      <c r="G32" s="74">
        <v>500</v>
      </c>
      <c r="H32" s="74">
        <v>87000</v>
      </c>
      <c r="I32" s="74">
        <v>14000</v>
      </c>
      <c r="J32" s="74">
        <v>500</v>
      </c>
      <c r="K32" s="74">
        <v>0</v>
      </c>
      <c r="L32" s="74">
        <f t="shared" si="11"/>
        <v>114900</v>
      </c>
      <c r="M32" s="74"/>
      <c r="N32" s="78">
        <v>0</v>
      </c>
      <c r="O32" s="78">
        <v>0</v>
      </c>
      <c r="P32" s="74">
        <v>0</v>
      </c>
      <c r="Q32" s="74">
        <v>0</v>
      </c>
      <c r="R32" s="78">
        <v>0</v>
      </c>
      <c r="S32" s="78">
        <v>0</v>
      </c>
      <c r="T32" s="74">
        <v>0</v>
      </c>
      <c r="U32" s="74">
        <v>0</v>
      </c>
      <c r="V32" s="78">
        <v>0</v>
      </c>
      <c r="W32" s="78">
        <v>0</v>
      </c>
      <c r="X32" s="110">
        <v>11960</v>
      </c>
      <c r="Y32" s="110">
        <v>3000</v>
      </c>
      <c r="Z32" s="78">
        <v>0</v>
      </c>
      <c r="AA32" s="79">
        <v>0</v>
      </c>
      <c r="AB32" s="110">
        <v>0</v>
      </c>
      <c r="AC32" s="110">
        <v>0</v>
      </c>
      <c r="AD32" s="80">
        <v>0</v>
      </c>
      <c r="AE32" s="80">
        <v>0</v>
      </c>
      <c r="AF32" s="78">
        <v>0</v>
      </c>
      <c r="AG32" s="112">
        <v>0</v>
      </c>
      <c r="AH32" s="81">
        <v>0</v>
      </c>
      <c r="AI32" s="81">
        <v>0</v>
      </c>
      <c r="AJ32" s="110">
        <v>1097</v>
      </c>
      <c r="AK32" s="110">
        <v>0</v>
      </c>
      <c r="AL32" s="78">
        <v>122</v>
      </c>
      <c r="AM32" s="78">
        <v>0</v>
      </c>
      <c r="AN32" s="110">
        <v>782</v>
      </c>
      <c r="AO32" s="114">
        <v>0</v>
      </c>
      <c r="AP32" s="78">
        <v>0</v>
      </c>
      <c r="AQ32" s="78">
        <v>0</v>
      </c>
      <c r="AR32" s="110">
        <v>1284</v>
      </c>
      <c r="AS32" s="110">
        <v>0</v>
      </c>
      <c r="AT32" s="78">
        <v>0</v>
      </c>
      <c r="AU32" s="78">
        <v>0</v>
      </c>
      <c r="AV32" s="110">
        <v>2400</v>
      </c>
      <c r="AW32" s="110">
        <v>0</v>
      </c>
      <c r="AX32" s="74">
        <f t="shared" si="12"/>
        <v>20645</v>
      </c>
      <c r="AY32" s="74"/>
      <c r="AZ32" s="74">
        <v>3000</v>
      </c>
      <c r="BA32" s="74"/>
      <c r="BB32" s="82">
        <f t="shared" si="13"/>
        <v>138545</v>
      </c>
      <c r="BD32" s="122">
        <f t="shared" si="14"/>
        <v>17645</v>
      </c>
      <c r="BE32" s="122">
        <f t="shared" si="15"/>
        <v>3000</v>
      </c>
      <c r="BG32" s="23"/>
      <c r="BH32" s="33"/>
      <c r="BL32" s="74"/>
      <c r="BM32" s="74">
        <v>20645</v>
      </c>
      <c r="BN32" s="74">
        <f t="shared" si="16"/>
        <v>21012.481</v>
      </c>
      <c r="BO32" s="141">
        <v>1.78E-2</v>
      </c>
      <c r="BQ32" s="26"/>
    </row>
    <row r="33" spans="1:70" x14ac:dyDescent="0.25">
      <c r="A33" s="6">
        <v>50312</v>
      </c>
      <c r="B33" s="35" t="s">
        <v>72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33750</v>
      </c>
      <c r="I33" s="74">
        <v>0</v>
      </c>
      <c r="J33" s="74">
        <v>0</v>
      </c>
      <c r="K33" s="74">
        <v>0</v>
      </c>
      <c r="L33" s="74">
        <f t="shared" si="11"/>
        <v>33750</v>
      </c>
      <c r="M33" s="74"/>
      <c r="N33" s="78">
        <v>0</v>
      </c>
      <c r="O33" s="78">
        <v>0</v>
      </c>
      <c r="P33" s="74">
        <v>0</v>
      </c>
      <c r="Q33" s="74">
        <v>0</v>
      </c>
      <c r="R33" s="78">
        <v>0</v>
      </c>
      <c r="S33" s="78">
        <v>0</v>
      </c>
      <c r="T33" s="74">
        <v>0</v>
      </c>
      <c r="U33" s="74">
        <v>0</v>
      </c>
      <c r="V33" s="78">
        <v>0</v>
      </c>
      <c r="W33" s="78">
        <v>0</v>
      </c>
      <c r="X33" s="110">
        <v>0</v>
      </c>
      <c r="Y33" s="110">
        <v>0</v>
      </c>
      <c r="Z33" s="78">
        <v>0</v>
      </c>
      <c r="AA33" s="79">
        <v>0</v>
      </c>
      <c r="AB33" s="110">
        <v>0</v>
      </c>
      <c r="AC33" s="110">
        <v>0</v>
      </c>
      <c r="AD33" s="80">
        <v>0</v>
      </c>
      <c r="AE33" s="80">
        <v>0</v>
      </c>
      <c r="AF33" s="78">
        <v>0</v>
      </c>
      <c r="AG33" s="112">
        <v>0</v>
      </c>
      <c r="AH33" s="81">
        <v>0</v>
      </c>
      <c r="AI33" s="81">
        <v>0</v>
      </c>
      <c r="AJ33" s="110">
        <v>0</v>
      </c>
      <c r="AK33" s="110">
        <v>0</v>
      </c>
      <c r="AL33" s="78">
        <v>0</v>
      </c>
      <c r="AM33" s="78">
        <v>0</v>
      </c>
      <c r="AN33" s="110">
        <v>0</v>
      </c>
      <c r="AO33" s="114">
        <v>0</v>
      </c>
      <c r="AP33" s="78">
        <v>0</v>
      </c>
      <c r="AQ33" s="78">
        <v>0</v>
      </c>
      <c r="AR33" s="110">
        <v>0</v>
      </c>
      <c r="AS33" s="110">
        <v>0</v>
      </c>
      <c r="AT33" s="78">
        <v>0</v>
      </c>
      <c r="AU33" s="78">
        <v>0</v>
      </c>
      <c r="AV33" s="110">
        <v>0</v>
      </c>
      <c r="AW33" s="110">
        <v>0</v>
      </c>
      <c r="AX33" s="74">
        <f t="shared" si="12"/>
        <v>0</v>
      </c>
      <c r="AY33" s="74"/>
      <c r="AZ33" s="74">
        <v>0</v>
      </c>
      <c r="BA33" s="74"/>
      <c r="BB33" s="82">
        <f t="shared" si="13"/>
        <v>33750</v>
      </c>
      <c r="BD33" s="122">
        <f t="shared" si="14"/>
        <v>0</v>
      </c>
      <c r="BE33" s="122">
        <f t="shared" si="15"/>
        <v>0</v>
      </c>
      <c r="BG33" s="34"/>
      <c r="BH33" s="34"/>
      <c r="BI33" s="34"/>
      <c r="BL33" s="74"/>
      <c r="BM33" s="74">
        <v>0</v>
      </c>
      <c r="BN33" s="74">
        <f t="shared" si="16"/>
        <v>0</v>
      </c>
      <c r="BO33" s="141">
        <v>1.78E-2</v>
      </c>
      <c r="BQ33" s="7"/>
    </row>
    <row r="34" spans="1:70" x14ac:dyDescent="0.25">
      <c r="A34" s="6">
        <v>50313</v>
      </c>
      <c r="B34" s="35" t="s">
        <v>73</v>
      </c>
      <c r="C34" s="82">
        <v>0</v>
      </c>
      <c r="D34" s="74">
        <v>8000</v>
      </c>
      <c r="E34" s="74">
        <v>46985</v>
      </c>
      <c r="F34" s="74">
        <v>133490</v>
      </c>
      <c r="G34" s="74">
        <v>1550</v>
      </c>
      <c r="H34" s="74">
        <v>76360</v>
      </c>
      <c r="I34" s="74">
        <v>27000</v>
      </c>
      <c r="J34" s="74">
        <v>0</v>
      </c>
      <c r="K34" s="74">
        <v>179808</v>
      </c>
      <c r="L34" s="74">
        <f t="shared" si="11"/>
        <v>473193</v>
      </c>
      <c r="M34" s="74"/>
      <c r="N34" s="78">
        <v>0</v>
      </c>
      <c r="O34" s="78">
        <v>0</v>
      </c>
      <c r="P34" s="74">
        <v>0</v>
      </c>
      <c r="Q34" s="74">
        <v>0</v>
      </c>
      <c r="R34" s="78">
        <v>0</v>
      </c>
      <c r="S34" s="78">
        <v>0</v>
      </c>
      <c r="T34" s="74">
        <v>0</v>
      </c>
      <c r="U34" s="74">
        <v>0</v>
      </c>
      <c r="V34" s="78">
        <v>0</v>
      </c>
      <c r="W34" s="78">
        <v>0</v>
      </c>
      <c r="X34" s="110">
        <v>95500</v>
      </c>
      <c r="Y34" s="110">
        <v>0</v>
      </c>
      <c r="Z34" s="78">
        <v>0</v>
      </c>
      <c r="AA34" s="79">
        <v>0</v>
      </c>
      <c r="AB34" s="110">
        <v>38207</v>
      </c>
      <c r="AC34" s="110">
        <v>0</v>
      </c>
      <c r="AD34" s="80">
        <v>0</v>
      </c>
      <c r="AE34" s="80">
        <v>0</v>
      </c>
      <c r="AF34" s="78">
        <v>28073</v>
      </c>
      <c r="AG34" s="112">
        <v>0</v>
      </c>
      <c r="AH34" s="81">
        <v>0</v>
      </c>
      <c r="AI34" s="81">
        <v>0</v>
      </c>
      <c r="AJ34" s="110">
        <v>41915</v>
      </c>
      <c r="AK34" s="110">
        <v>0</v>
      </c>
      <c r="AL34" s="78">
        <v>6211</v>
      </c>
      <c r="AM34" s="78">
        <v>0</v>
      </c>
      <c r="AN34" s="110">
        <v>28376</v>
      </c>
      <c r="AO34" s="114">
        <v>0</v>
      </c>
      <c r="AP34" s="78">
        <v>0</v>
      </c>
      <c r="AQ34" s="78">
        <v>0</v>
      </c>
      <c r="AR34" s="110">
        <v>0</v>
      </c>
      <c r="AS34" s="110">
        <v>0</v>
      </c>
      <c r="AT34" s="78">
        <v>0</v>
      </c>
      <c r="AU34" s="78">
        <v>0</v>
      </c>
      <c r="AV34" s="110">
        <v>50170</v>
      </c>
      <c r="AW34" s="110">
        <v>0</v>
      </c>
      <c r="AX34" s="74">
        <f t="shared" si="12"/>
        <v>288452</v>
      </c>
      <c r="AY34" s="74"/>
      <c r="AZ34" s="74">
        <v>23500</v>
      </c>
      <c r="BA34" s="74"/>
      <c r="BB34" s="82">
        <f t="shared" si="13"/>
        <v>785145</v>
      </c>
      <c r="BD34" s="122">
        <f t="shared" si="14"/>
        <v>288452</v>
      </c>
      <c r="BE34" s="122">
        <f t="shared" si="15"/>
        <v>0</v>
      </c>
      <c r="BL34" s="74"/>
      <c r="BM34" s="74">
        <v>288452</v>
      </c>
      <c r="BN34" s="74">
        <f t="shared" si="16"/>
        <v>293586.44560000004</v>
      </c>
      <c r="BO34" s="141">
        <v>1.78E-2</v>
      </c>
      <c r="BQ34" s="7"/>
    </row>
    <row r="35" spans="1:70" x14ac:dyDescent="0.25">
      <c r="A35" s="6">
        <v>50315</v>
      </c>
      <c r="B35" s="35" t="s">
        <v>74</v>
      </c>
      <c r="C35" s="74">
        <v>110000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f t="shared" si="11"/>
        <v>110000</v>
      </c>
      <c r="M35" s="74"/>
      <c r="N35" s="78">
        <v>0</v>
      </c>
      <c r="O35" s="78">
        <v>0</v>
      </c>
      <c r="P35" s="74">
        <v>0</v>
      </c>
      <c r="Q35" s="74">
        <v>0</v>
      </c>
      <c r="R35" s="78">
        <v>0</v>
      </c>
      <c r="S35" s="78">
        <v>0</v>
      </c>
      <c r="T35" s="74">
        <v>0</v>
      </c>
      <c r="U35" s="74">
        <v>0</v>
      </c>
      <c r="V35" s="78">
        <v>0</v>
      </c>
      <c r="W35" s="78">
        <v>0</v>
      </c>
      <c r="X35" s="110">
        <v>0</v>
      </c>
      <c r="Y35" s="110">
        <f>90000+7773</f>
        <v>97773</v>
      </c>
      <c r="Z35" s="78">
        <v>0</v>
      </c>
      <c r="AA35" s="79">
        <v>0</v>
      </c>
      <c r="AB35" s="110">
        <v>0</v>
      </c>
      <c r="AC35" s="110">
        <v>0</v>
      </c>
      <c r="AD35" s="80">
        <v>0</v>
      </c>
      <c r="AE35" s="80">
        <v>0</v>
      </c>
      <c r="AF35" s="78">
        <v>0</v>
      </c>
      <c r="AG35" s="112">
        <v>0</v>
      </c>
      <c r="AH35" s="81">
        <v>0</v>
      </c>
      <c r="AI35" s="81">
        <v>0</v>
      </c>
      <c r="AJ35" s="110">
        <v>0</v>
      </c>
      <c r="AK35" s="110">
        <v>0</v>
      </c>
      <c r="AL35" s="78">
        <v>0</v>
      </c>
      <c r="AM35" s="78">
        <v>0</v>
      </c>
      <c r="AN35" s="110">
        <v>0</v>
      </c>
      <c r="AO35" s="114">
        <v>0</v>
      </c>
      <c r="AP35" s="78">
        <v>0</v>
      </c>
      <c r="AQ35" s="78">
        <v>0</v>
      </c>
      <c r="AR35" s="110">
        <v>0</v>
      </c>
      <c r="AS35" s="110">
        <v>0</v>
      </c>
      <c r="AT35" s="78">
        <v>0</v>
      </c>
      <c r="AU35" s="78">
        <v>0</v>
      </c>
      <c r="AV35" s="110">
        <v>0</v>
      </c>
      <c r="AW35" s="110">
        <v>0</v>
      </c>
      <c r="AX35" s="74">
        <f t="shared" si="12"/>
        <v>97773</v>
      </c>
      <c r="AY35" s="74"/>
      <c r="AZ35" s="74">
        <v>0</v>
      </c>
      <c r="BA35" s="74"/>
      <c r="BB35" s="82">
        <f t="shared" si="13"/>
        <v>207773</v>
      </c>
      <c r="BD35" s="122">
        <f t="shared" si="14"/>
        <v>0</v>
      </c>
      <c r="BE35" s="122">
        <f t="shared" si="15"/>
        <v>97773</v>
      </c>
      <c r="BL35" s="74"/>
      <c r="BM35" s="74">
        <v>97773</v>
      </c>
      <c r="BN35" s="74">
        <f t="shared" si="16"/>
        <v>99513.359400000001</v>
      </c>
      <c r="BO35" s="141">
        <v>1.78E-2</v>
      </c>
      <c r="BQ35" s="7"/>
    </row>
    <row r="36" spans="1:70" x14ac:dyDescent="0.25">
      <c r="A36" s="6">
        <v>50316</v>
      </c>
      <c r="B36" s="35" t="s">
        <v>75</v>
      </c>
      <c r="C36" s="74">
        <v>0</v>
      </c>
      <c r="D36" s="74">
        <v>500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f t="shared" si="11"/>
        <v>500</v>
      </c>
      <c r="M36" s="74"/>
      <c r="N36" s="78">
        <v>0</v>
      </c>
      <c r="O36" s="78">
        <v>0</v>
      </c>
      <c r="P36" s="74">
        <v>0</v>
      </c>
      <c r="Q36" s="74">
        <v>0</v>
      </c>
      <c r="R36" s="78">
        <v>0</v>
      </c>
      <c r="S36" s="78">
        <v>0</v>
      </c>
      <c r="T36" s="74">
        <v>0</v>
      </c>
      <c r="U36" s="74">
        <v>0</v>
      </c>
      <c r="V36" s="78">
        <v>0</v>
      </c>
      <c r="W36" s="78">
        <v>0</v>
      </c>
      <c r="X36" s="110">
        <v>0</v>
      </c>
      <c r="Y36" s="110">
        <v>0</v>
      </c>
      <c r="Z36" s="78">
        <v>0</v>
      </c>
      <c r="AA36" s="79">
        <v>0</v>
      </c>
      <c r="AB36" s="110">
        <v>0</v>
      </c>
      <c r="AC36" s="110">
        <v>0</v>
      </c>
      <c r="AD36" s="80">
        <v>0</v>
      </c>
      <c r="AE36" s="80">
        <v>0</v>
      </c>
      <c r="AF36" s="78">
        <v>0</v>
      </c>
      <c r="AG36" s="112">
        <v>0</v>
      </c>
      <c r="AH36" s="81">
        <v>0</v>
      </c>
      <c r="AI36" s="81">
        <v>0</v>
      </c>
      <c r="AJ36" s="110">
        <v>0</v>
      </c>
      <c r="AK36" s="110">
        <v>0</v>
      </c>
      <c r="AL36" s="78">
        <v>0</v>
      </c>
      <c r="AM36" s="78">
        <v>0</v>
      </c>
      <c r="AN36" s="110">
        <v>0</v>
      </c>
      <c r="AO36" s="114">
        <v>0</v>
      </c>
      <c r="AP36" s="78">
        <v>8160</v>
      </c>
      <c r="AQ36" s="78">
        <v>0</v>
      </c>
      <c r="AR36" s="110">
        <v>0</v>
      </c>
      <c r="AS36" s="110">
        <v>0</v>
      </c>
      <c r="AT36" s="78">
        <v>0</v>
      </c>
      <c r="AU36" s="78">
        <v>0</v>
      </c>
      <c r="AV36" s="110">
        <v>107310</v>
      </c>
      <c r="AW36" s="110">
        <v>0</v>
      </c>
      <c r="AX36" s="74">
        <f t="shared" si="12"/>
        <v>115470</v>
      </c>
      <c r="AY36" s="74"/>
      <c r="AZ36" s="74">
        <v>1000</v>
      </c>
      <c r="BA36" s="74"/>
      <c r="BB36" s="82">
        <f t="shared" si="13"/>
        <v>116970</v>
      </c>
      <c r="BD36" s="122">
        <f t="shared" si="14"/>
        <v>115470</v>
      </c>
      <c r="BE36" s="122">
        <f t="shared" si="15"/>
        <v>0</v>
      </c>
      <c r="BL36" s="74"/>
      <c r="BM36" s="74">
        <v>115470</v>
      </c>
      <c r="BN36" s="74">
        <f t="shared" si="16"/>
        <v>117525.36600000001</v>
      </c>
      <c r="BO36" s="141">
        <v>1.78E-2</v>
      </c>
      <c r="BQ36" s="26"/>
    </row>
    <row r="37" spans="1:70" x14ac:dyDescent="0.25">
      <c r="A37" s="6">
        <v>50317</v>
      </c>
      <c r="B37" s="35" t="s">
        <v>76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f t="shared" si="11"/>
        <v>0</v>
      </c>
      <c r="M37" s="74"/>
      <c r="N37" s="78">
        <v>0</v>
      </c>
      <c r="O37" s="78">
        <v>0</v>
      </c>
      <c r="P37" s="74">
        <v>0</v>
      </c>
      <c r="Q37" s="74">
        <v>0</v>
      </c>
      <c r="R37" s="78">
        <v>0</v>
      </c>
      <c r="S37" s="78">
        <v>0</v>
      </c>
      <c r="T37" s="74">
        <v>0</v>
      </c>
      <c r="U37" s="74">
        <v>0</v>
      </c>
      <c r="V37" s="78">
        <v>0</v>
      </c>
      <c r="W37" s="78">
        <v>0</v>
      </c>
      <c r="X37" s="110">
        <v>0</v>
      </c>
      <c r="Y37" s="110">
        <v>0</v>
      </c>
      <c r="Z37" s="78">
        <v>0</v>
      </c>
      <c r="AA37" s="79">
        <v>0</v>
      </c>
      <c r="AB37" s="110">
        <v>0</v>
      </c>
      <c r="AC37" s="110">
        <v>0</v>
      </c>
      <c r="AD37" s="80">
        <v>0</v>
      </c>
      <c r="AE37" s="80">
        <v>0</v>
      </c>
      <c r="AF37" s="78">
        <v>0</v>
      </c>
      <c r="AG37" s="112">
        <v>0</v>
      </c>
      <c r="AH37" s="81">
        <v>0</v>
      </c>
      <c r="AI37" s="81">
        <v>0</v>
      </c>
      <c r="AJ37" s="110">
        <v>0</v>
      </c>
      <c r="AK37" s="110">
        <v>0</v>
      </c>
      <c r="AL37" s="78">
        <v>0</v>
      </c>
      <c r="AM37" s="78">
        <v>0</v>
      </c>
      <c r="AN37" s="110">
        <v>0</v>
      </c>
      <c r="AO37" s="114">
        <v>0</v>
      </c>
      <c r="AP37" s="78">
        <v>0</v>
      </c>
      <c r="AQ37" s="78">
        <v>0</v>
      </c>
      <c r="AR37" s="110">
        <v>0</v>
      </c>
      <c r="AS37" s="110">
        <v>0</v>
      </c>
      <c r="AT37" s="78">
        <v>0</v>
      </c>
      <c r="AU37" s="78">
        <v>0</v>
      </c>
      <c r="AV37" s="110">
        <v>50000</v>
      </c>
      <c r="AW37" s="110">
        <v>0</v>
      </c>
      <c r="AX37" s="74">
        <f t="shared" si="12"/>
        <v>50000</v>
      </c>
      <c r="AY37" s="74"/>
      <c r="AZ37" s="74">
        <v>0</v>
      </c>
      <c r="BA37" s="74"/>
      <c r="BB37" s="82">
        <f t="shared" si="13"/>
        <v>50000</v>
      </c>
      <c r="BD37" s="122">
        <f t="shared" si="14"/>
        <v>50000</v>
      </c>
      <c r="BE37" s="122">
        <f t="shared" si="15"/>
        <v>0</v>
      </c>
      <c r="BL37" s="74"/>
      <c r="BM37" s="74">
        <v>50000</v>
      </c>
      <c r="BN37" s="74">
        <f t="shared" si="16"/>
        <v>50890</v>
      </c>
      <c r="BO37" s="141">
        <v>1.78E-2</v>
      </c>
      <c r="BQ37" s="7"/>
    </row>
    <row r="38" spans="1:70" x14ac:dyDescent="0.25">
      <c r="A38" s="6">
        <v>50318</v>
      </c>
      <c r="B38" s="35" t="s">
        <v>77</v>
      </c>
      <c r="C38" s="74">
        <v>0</v>
      </c>
      <c r="D38" s="74">
        <v>12350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f t="shared" si="11"/>
        <v>12350</v>
      </c>
      <c r="M38" s="74"/>
      <c r="N38" s="78">
        <v>0</v>
      </c>
      <c r="O38" s="78">
        <v>0</v>
      </c>
      <c r="P38" s="74">
        <v>0</v>
      </c>
      <c r="Q38" s="74">
        <v>0</v>
      </c>
      <c r="R38" s="78">
        <v>0</v>
      </c>
      <c r="S38" s="78">
        <v>0</v>
      </c>
      <c r="T38" s="74">
        <v>0</v>
      </c>
      <c r="U38" s="74">
        <v>0</v>
      </c>
      <c r="V38" s="78">
        <v>0</v>
      </c>
      <c r="W38" s="78">
        <v>0</v>
      </c>
      <c r="X38" s="110">
        <f>102420+226471</f>
        <v>328891</v>
      </c>
      <c r="Y38" s="110">
        <v>0</v>
      </c>
      <c r="Z38" s="78">
        <v>0</v>
      </c>
      <c r="AA38" s="79">
        <v>0</v>
      </c>
      <c r="AB38" s="110">
        <v>0</v>
      </c>
      <c r="AC38" s="110">
        <v>0</v>
      </c>
      <c r="AD38" s="80">
        <v>0</v>
      </c>
      <c r="AE38" s="80">
        <v>0</v>
      </c>
      <c r="AF38" s="78">
        <v>0</v>
      </c>
      <c r="AG38" s="112">
        <v>0</v>
      </c>
      <c r="AH38" s="81">
        <v>0</v>
      </c>
      <c r="AI38" s="81">
        <v>0</v>
      </c>
      <c r="AJ38" s="110">
        <v>0</v>
      </c>
      <c r="AK38" s="110">
        <v>0</v>
      </c>
      <c r="AL38" s="78">
        <v>0</v>
      </c>
      <c r="AM38" s="78">
        <v>0</v>
      </c>
      <c r="AN38" s="110">
        <v>0</v>
      </c>
      <c r="AO38" s="114">
        <v>0</v>
      </c>
      <c r="AP38" s="78">
        <v>0</v>
      </c>
      <c r="AQ38" s="78">
        <v>0</v>
      </c>
      <c r="AR38" s="110">
        <v>60420</v>
      </c>
      <c r="AS38" s="110">
        <v>0</v>
      </c>
      <c r="AT38" s="78">
        <v>0</v>
      </c>
      <c r="AU38" s="78">
        <v>0</v>
      </c>
      <c r="AV38" s="116">
        <v>17100</v>
      </c>
      <c r="AW38" s="110">
        <v>0</v>
      </c>
      <c r="AX38" s="74">
        <f t="shared" si="12"/>
        <v>406411</v>
      </c>
      <c r="AY38" s="74"/>
      <c r="AZ38" s="74">
        <v>231526</v>
      </c>
      <c r="BA38" s="74"/>
      <c r="BB38" s="82">
        <f t="shared" si="13"/>
        <v>650287</v>
      </c>
      <c r="BD38" s="122">
        <f t="shared" si="14"/>
        <v>406411</v>
      </c>
      <c r="BE38" s="122">
        <f t="shared" si="15"/>
        <v>0</v>
      </c>
      <c r="BL38" s="74"/>
      <c r="BM38" s="74">
        <v>406411</v>
      </c>
      <c r="BN38" s="74">
        <f t="shared" si="16"/>
        <v>413645.11580000003</v>
      </c>
      <c r="BO38" s="141">
        <v>1.78E-2</v>
      </c>
      <c r="BQ38" s="26"/>
    </row>
    <row r="39" spans="1:70" x14ac:dyDescent="0.25">
      <c r="A39" s="6">
        <v>50410</v>
      </c>
      <c r="B39" s="35" t="s">
        <v>78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f t="shared" si="11"/>
        <v>0</v>
      </c>
      <c r="M39" s="74"/>
      <c r="N39" s="78">
        <v>342308</v>
      </c>
      <c r="O39" s="78">
        <v>0</v>
      </c>
      <c r="P39" s="74">
        <v>0</v>
      </c>
      <c r="Q39" s="74">
        <v>0</v>
      </c>
      <c r="R39" s="78">
        <v>33084</v>
      </c>
      <c r="S39" s="78">
        <v>0</v>
      </c>
      <c r="T39" s="74">
        <v>3994</v>
      </c>
      <c r="U39" s="74">
        <v>0</v>
      </c>
      <c r="V39" s="78">
        <v>0</v>
      </c>
      <c r="W39" s="78">
        <v>0</v>
      </c>
      <c r="X39" s="110">
        <v>0</v>
      </c>
      <c r="Y39" s="110">
        <v>0</v>
      </c>
      <c r="Z39" s="78">
        <v>0</v>
      </c>
      <c r="AA39" s="79">
        <v>0</v>
      </c>
      <c r="AB39" s="110">
        <v>303023</v>
      </c>
      <c r="AC39" s="110">
        <v>0</v>
      </c>
      <c r="AD39" s="80">
        <v>0</v>
      </c>
      <c r="AE39" s="80">
        <v>0</v>
      </c>
      <c r="AF39" s="135">
        <v>156428</v>
      </c>
      <c r="AG39" s="112">
        <v>0</v>
      </c>
      <c r="AH39" s="81">
        <v>0</v>
      </c>
      <c r="AI39" s="81">
        <v>0</v>
      </c>
      <c r="AJ39" s="110">
        <v>46203</v>
      </c>
      <c r="AK39" s="110">
        <v>0</v>
      </c>
      <c r="AL39" s="78">
        <v>5526</v>
      </c>
      <c r="AM39" s="78">
        <v>0</v>
      </c>
      <c r="AN39" s="110">
        <v>32974</v>
      </c>
      <c r="AO39" s="114">
        <v>0</v>
      </c>
      <c r="AP39" s="78">
        <v>46787</v>
      </c>
      <c r="AQ39" s="78">
        <v>0</v>
      </c>
      <c r="AR39" s="110">
        <v>0</v>
      </c>
      <c r="AS39" s="110">
        <v>0</v>
      </c>
      <c r="AT39" s="78">
        <v>21600</v>
      </c>
      <c r="AU39" s="78">
        <v>0</v>
      </c>
      <c r="AV39" s="110">
        <v>0</v>
      </c>
      <c r="AW39" s="110">
        <v>0</v>
      </c>
      <c r="AX39" s="74">
        <f t="shared" si="12"/>
        <v>991927</v>
      </c>
      <c r="AY39" s="74"/>
      <c r="AZ39" s="74">
        <f>837000+184800</f>
        <v>1021800</v>
      </c>
      <c r="BA39" s="74"/>
      <c r="BB39" s="82">
        <f t="shared" si="13"/>
        <v>2013727</v>
      </c>
      <c r="BD39" s="122">
        <f t="shared" si="14"/>
        <v>991927</v>
      </c>
      <c r="BE39" s="122">
        <f t="shared" si="15"/>
        <v>0</v>
      </c>
      <c r="BL39" s="74"/>
      <c r="BM39" s="74">
        <v>990754</v>
      </c>
      <c r="BN39" s="74">
        <f t="shared" si="16"/>
        <v>1025018.9597504145</v>
      </c>
      <c r="BO39" s="141">
        <v>3.4584730165524984E-2</v>
      </c>
      <c r="BQ39" s="7"/>
      <c r="BR39" s="13"/>
    </row>
    <row r="40" spans="1:70" x14ac:dyDescent="0.25">
      <c r="A40" s="6">
        <v>50415</v>
      </c>
      <c r="B40" s="35" t="s">
        <v>79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f t="shared" si="11"/>
        <v>0</v>
      </c>
      <c r="M40" s="74"/>
      <c r="N40" s="78">
        <v>0</v>
      </c>
      <c r="O40" s="78">
        <v>0</v>
      </c>
      <c r="P40" s="74">
        <v>0</v>
      </c>
      <c r="Q40" s="74">
        <v>0</v>
      </c>
      <c r="R40" s="78">
        <v>0</v>
      </c>
      <c r="S40" s="78">
        <v>0</v>
      </c>
      <c r="T40" s="74">
        <v>0</v>
      </c>
      <c r="U40" s="74">
        <v>0</v>
      </c>
      <c r="V40" s="78">
        <v>0</v>
      </c>
      <c r="W40" s="78">
        <v>0</v>
      </c>
      <c r="X40" s="110">
        <f>2400+1094</f>
        <v>3494</v>
      </c>
      <c r="Y40" s="110">
        <v>0</v>
      </c>
      <c r="Z40" s="78">
        <v>0</v>
      </c>
      <c r="AA40" s="79">
        <v>0</v>
      </c>
      <c r="AB40" s="110">
        <v>0</v>
      </c>
      <c r="AC40" s="110">
        <v>0</v>
      </c>
      <c r="AD40" s="80">
        <v>0</v>
      </c>
      <c r="AE40" s="80">
        <v>0</v>
      </c>
      <c r="AF40" s="78">
        <v>0</v>
      </c>
      <c r="AG40" s="112">
        <v>0</v>
      </c>
      <c r="AH40" s="81">
        <v>0</v>
      </c>
      <c r="AI40" s="81">
        <v>0</v>
      </c>
      <c r="AJ40" s="110">
        <v>0</v>
      </c>
      <c r="AK40" s="110">
        <v>0</v>
      </c>
      <c r="AL40" s="78">
        <v>0</v>
      </c>
      <c r="AM40" s="78">
        <v>0</v>
      </c>
      <c r="AN40" s="110">
        <v>0</v>
      </c>
      <c r="AO40" s="114">
        <v>0</v>
      </c>
      <c r="AP40" s="78">
        <v>0</v>
      </c>
      <c r="AQ40" s="78">
        <v>0</v>
      </c>
      <c r="AR40" s="110">
        <v>0</v>
      </c>
      <c r="AS40" s="110">
        <v>0</v>
      </c>
      <c r="AT40" s="78">
        <v>0</v>
      </c>
      <c r="AU40" s="78">
        <v>0</v>
      </c>
      <c r="AV40" s="110">
        <f>33000+64107</f>
        <v>97107</v>
      </c>
      <c r="AW40" s="110">
        <v>0</v>
      </c>
      <c r="AX40" s="74">
        <f t="shared" si="12"/>
        <v>100601</v>
      </c>
      <c r="AY40" s="74"/>
      <c r="AZ40" s="74">
        <v>500</v>
      </c>
      <c r="BA40" s="74"/>
      <c r="BB40" s="82">
        <f t="shared" si="13"/>
        <v>101101</v>
      </c>
      <c r="BD40" s="122">
        <f t="shared" si="14"/>
        <v>100601</v>
      </c>
      <c r="BE40" s="122">
        <f t="shared" si="15"/>
        <v>0</v>
      </c>
      <c r="BL40" s="74"/>
      <c r="BM40" s="74">
        <v>100601</v>
      </c>
      <c r="BN40" s="74">
        <f t="shared" si="16"/>
        <v>102391.69780000001</v>
      </c>
      <c r="BO40" s="141">
        <v>1.78E-2</v>
      </c>
      <c r="BP40" s="146"/>
      <c r="BQ40" s="7"/>
    </row>
    <row r="41" spans="1:70" x14ac:dyDescent="0.25">
      <c r="A41" s="6">
        <v>50420</v>
      </c>
      <c r="B41" s="35" t="s">
        <v>80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16100</v>
      </c>
      <c r="I41" s="74">
        <v>0</v>
      </c>
      <c r="J41" s="74">
        <v>0</v>
      </c>
      <c r="K41" s="74">
        <v>0</v>
      </c>
      <c r="L41" s="74">
        <f t="shared" si="11"/>
        <v>16100</v>
      </c>
      <c r="M41" s="74"/>
      <c r="N41" s="78">
        <v>0</v>
      </c>
      <c r="O41" s="78">
        <v>0</v>
      </c>
      <c r="P41" s="74">
        <v>0</v>
      </c>
      <c r="Q41" s="74">
        <v>0</v>
      </c>
      <c r="R41" s="78">
        <v>0</v>
      </c>
      <c r="S41" s="78">
        <v>0</v>
      </c>
      <c r="T41" s="74">
        <v>0</v>
      </c>
      <c r="U41" s="74">
        <v>0</v>
      </c>
      <c r="V41" s="78">
        <v>0</v>
      </c>
      <c r="W41" s="78">
        <v>0</v>
      </c>
      <c r="X41" s="110">
        <v>0</v>
      </c>
      <c r="Y41" s="110">
        <v>0</v>
      </c>
      <c r="Z41" s="78">
        <v>0</v>
      </c>
      <c r="AA41" s="79">
        <v>0</v>
      </c>
      <c r="AB41" s="110">
        <v>0</v>
      </c>
      <c r="AC41" s="110">
        <v>0</v>
      </c>
      <c r="AD41" s="80">
        <v>0</v>
      </c>
      <c r="AE41" s="80">
        <v>0</v>
      </c>
      <c r="AF41" s="78">
        <v>0</v>
      </c>
      <c r="AG41" s="112">
        <v>0</v>
      </c>
      <c r="AH41" s="81">
        <v>0</v>
      </c>
      <c r="AI41" s="81">
        <v>0</v>
      </c>
      <c r="AJ41" s="110">
        <v>0</v>
      </c>
      <c r="AK41" s="110">
        <v>0</v>
      </c>
      <c r="AL41" s="78">
        <v>0</v>
      </c>
      <c r="AM41" s="78">
        <v>0</v>
      </c>
      <c r="AN41" s="110">
        <v>0</v>
      </c>
      <c r="AO41" s="114">
        <v>0</v>
      </c>
      <c r="AP41" s="78">
        <v>0</v>
      </c>
      <c r="AQ41" s="78">
        <v>0</v>
      </c>
      <c r="AR41" s="110">
        <v>0</v>
      </c>
      <c r="AS41" s="110">
        <v>0</v>
      </c>
      <c r="AT41" s="78">
        <v>0</v>
      </c>
      <c r="AU41" s="78">
        <v>0</v>
      </c>
      <c r="AV41" s="110">
        <v>0</v>
      </c>
      <c r="AW41" s="110">
        <v>0</v>
      </c>
      <c r="AX41" s="74">
        <f t="shared" si="12"/>
        <v>0</v>
      </c>
      <c r="AY41" s="74"/>
      <c r="AZ41" s="74">
        <v>0</v>
      </c>
      <c r="BA41" s="74"/>
      <c r="BB41" s="82">
        <f t="shared" si="13"/>
        <v>16100</v>
      </c>
      <c r="BD41" s="122">
        <f t="shared" si="14"/>
        <v>0</v>
      </c>
      <c r="BE41" s="122">
        <f t="shared" si="15"/>
        <v>0</v>
      </c>
      <c r="BL41" s="74"/>
      <c r="BM41" s="74">
        <v>0</v>
      </c>
      <c r="BN41" s="74">
        <f t="shared" si="16"/>
        <v>0</v>
      </c>
      <c r="BO41" s="141">
        <v>1.78E-2</v>
      </c>
      <c r="BP41" s="146"/>
      <c r="BQ41" s="7"/>
    </row>
    <row r="42" spans="1:70" x14ac:dyDescent="0.25">
      <c r="A42" s="6">
        <v>50425</v>
      </c>
      <c r="B42" s="35" t="s">
        <v>81</v>
      </c>
      <c r="C42" s="74">
        <v>0</v>
      </c>
      <c r="D42" s="74">
        <v>12700</v>
      </c>
      <c r="E42" s="74">
        <v>500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f t="shared" si="11"/>
        <v>13200</v>
      </c>
      <c r="M42" s="74"/>
      <c r="N42" s="78">
        <v>0</v>
      </c>
      <c r="O42" s="78">
        <v>0</v>
      </c>
      <c r="P42" s="74">
        <v>0</v>
      </c>
      <c r="Q42" s="74">
        <v>0</v>
      </c>
      <c r="R42" s="78">
        <v>0</v>
      </c>
      <c r="S42" s="78">
        <v>0</v>
      </c>
      <c r="T42" s="74">
        <v>0</v>
      </c>
      <c r="U42" s="74">
        <v>0</v>
      </c>
      <c r="V42" s="78">
        <v>0</v>
      </c>
      <c r="W42" s="78">
        <v>0</v>
      </c>
      <c r="X42" s="110">
        <f>13500+159</f>
        <v>13659</v>
      </c>
      <c r="Y42" s="110">
        <v>1404</v>
      </c>
      <c r="Z42" s="78">
        <v>0</v>
      </c>
      <c r="AA42" s="79">
        <v>0</v>
      </c>
      <c r="AB42" s="110">
        <v>0</v>
      </c>
      <c r="AC42" s="110">
        <v>0</v>
      </c>
      <c r="AD42" s="80">
        <v>0</v>
      </c>
      <c r="AE42" s="80">
        <v>0</v>
      </c>
      <c r="AF42" s="78">
        <v>0</v>
      </c>
      <c r="AG42" s="112">
        <v>0</v>
      </c>
      <c r="AH42" s="81">
        <v>0</v>
      </c>
      <c r="AI42" s="81">
        <v>0</v>
      </c>
      <c r="AJ42" s="110">
        <v>0</v>
      </c>
      <c r="AK42" s="110">
        <v>0</v>
      </c>
      <c r="AL42" s="78">
        <v>0</v>
      </c>
      <c r="AM42" s="78">
        <v>0</v>
      </c>
      <c r="AN42" s="110">
        <v>0</v>
      </c>
      <c r="AO42" s="114">
        <v>0</v>
      </c>
      <c r="AP42" s="78">
        <v>0</v>
      </c>
      <c r="AQ42" s="78">
        <v>0</v>
      </c>
      <c r="AR42" s="110">
        <v>7700</v>
      </c>
      <c r="AS42" s="110">
        <v>0</v>
      </c>
      <c r="AT42" s="78">
        <v>0</v>
      </c>
      <c r="AU42" s="78">
        <v>0</v>
      </c>
      <c r="AV42" s="110">
        <v>0</v>
      </c>
      <c r="AW42" s="110">
        <v>0</v>
      </c>
      <c r="AX42" s="74">
        <f t="shared" si="12"/>
        <v>22763</v>
      </c>
      <c r="AY42" s="74"/>
      <c r="AZ42" s="74">
        <v>0</v>
      </c>
      <c r="BA42" s="74"/>
      <c r="BB42" s="82">
        <f t="shared" si="13"/>
        <v>35963</v>
      </c>
      <c r="BD42" s="122">
        <f t="shared" si="14"/>
        <v>21359</v>
      </c>
      <c r="BE42" s="122">
        <f t="shared" si="15"/>
        <v>1404</v>
      </c>
      <c r="BL42" s="74"/>
      <c r="BM42" s="74">
        <v>22763</v>
      </c>
      <c r="BN42" s="74">
        <f t="shared" si="16"/>
        <v>23168.181400000001</v>
      </c>
      <c r="BO42" s="141">
        <v>1.78E-2</v>
      </c>
      <c r="BP42" s="155"/>
      <c r="BQ42" s="26"/>
    </row>
    <row r="43" spans="1:70" x14ac:dyDescent="0.25">
      <c r="A43" s="6">
        <v>50435</v>
      </c>
      <c r="B43" s="35" t="s">
        <v>82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f t="shared" si="11"/>
        <v>0</v>
      </c>
      <c r="M43" s="74"/>
      <c r="N43" s="78">
        <v>0</v>
      </c>
      <c r="O43" s="78">
        <v>0</v>
      </c>
      <c r="P43" s="74">
        <v>0</v>
      </c>
      <c r="Q43" s="74">
        <v>0</v>
      </c>
      <c r="R43" s="78">
        <v>0</v>
      </c>
      <c r="S43" s="78">
        <v>0</v>
      </c>
      <c r="T43" s="74">
        <v>0</v>
      </c>
      <c r="U43" s="74">
        <v>0</v>
      </c>
      <c r="V43" s="78">
        <v>0</v>
      </c>
      <c r="W43" s="78">
        <v>0</v>
      </c>
      <c r="X43" s="110">
        <v>1200</v>
      </c>
      <c r="Y43" s="110">
        <v>0</v>
      </c>
      <c r="Z43" s="78">
        <v>0</v>
      </c>
      <c r="AA43" s="79">
        <v>0</v>
      </c>
      <c r="AB43" s="110">
        <v>0</v>
      </c>
      <c r="AC43" s="110">
        <v>0</v>
      </c>
      <c r="AD43" s="80">
        <v>0</v>
      </c>
      <c r="AE43" s="80">
        <v>0</v>
      </c>
      <c r="AF43" s="78">
        <v>0</v>
      </c>
      <c r="AG43" s="112">
        <v>0</v>
      </c>
      <c r="AH43" s="81">
        <v>0</v>
      </c>
      <c r="AI43" s="81">
        <v>0</v>
      </c>
      <c r="AJ43" s="110">
        <v>0</v>
      </c>
      <c r="AK43" s="110">
        <v>0</v>
      </c>
      <c r="AL43" s="78">
        <v>0</v>
      </c>
      <c r="AM43" s="78">
        <v>0</v>
      </c>
      <c r="AN43" s="110">
        <v>0</v>
      </c>
      <c r="AO43" s="114">
        <v>0</v>
      </c>
      <c r="AP43" s="78">
        <v>0</v>
      </c>
      <c r="AQ43" s="78">
        <v>0</v>
      </c>
      <c r="AR43" s="110">
        <v>0</v>
      </c>
      <c r="AS43" s="110">
        <v>0</v>
      </c>
      <c r="AT43" s="78">
        <v>0</v>
      </c>
      <c r="AU43" s="78">
        <v>0</v>
      </c>
      <c r="AV43" s="110">
        <v>0</v>
      </c>
      <c r="AW43" s="110">
        <v>0</v>
      </c>
      <c r="AX43" s="74">
        <f t="shared" si="12"/>
        <v>1200</v>
      </c>
      <c r="AY43" s="74"/>
      <c r="AZ43" s="74">
        <v>0</v>
      </c>
      <c r="BA43" s="74"/>
      <c r="BB43" s="82">
        <f t="shared" si="13"/>
        <v>1200</v>
      </c>
      <c r="BD43" s="122">
        <f t="shared" si="14"/>
        <v>1200</v>
      </c>
      <c r="BE43" s="122">
        <f t="shared" si="15"/>
        <v>0</v>
      </c>
      <c r="BL43" s="74"/>
      <c r="BM43" s="74">
        <v>1200</v>
      </c>
      <c r="BN43" s="74">
        <f t="shared" si="16"/>
        <v>1221.3600000000001</v>
      </c>
      <c r="BO43" s="141">
        <v>1.78E-2</v>
      </c>
      <c r="BQ43" s="7"/>
    </row>
    <row r="44" spans="1:70" x14ac:dyDescent="0.25">
      <c r="A44" s="6">
        <v>50440</v>
      </c>
      <c r="B44" s="35" t="s">
        <v>83</v>
      </c>
      <c r="C44" s="82">
        <v>0</v>
      </c>
      <c r="D44" s="74">
        <v>3000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29300</v>
      </c>
      <c r="L44" s="74">
        <f t="shared" si="11"/>
        <v>32300</v>
      </c>
      <c r="M44" s="74"/>
      <c r="N44" s="78">
        <v>0</v>
      </c>
      <c r="O44" s="78">
        <v>0</v>
      </c>
      <c r="P44" s="74">
        <v>0</v>
      </c>
      <c r="Q44" s="74">
        <v>0</v>
      </c>
      <c r="R44" s="78">
        <v>0</v>
      </c>
      <c r="S44" s="78">
        <v>0</v>
      </c>
      <c r="T44" s="74">
        <v>0</v>
      </c>
      <c r="U44" s="74">
        <v>0</v>
      </c>
      <c r="V44" s="78">
        <v>0</v>
      </c>
      <c r="W44" s="78">
        <v>0</v>
      </c>
      <c r="X44" s="110">
        <v>3000</v>
      </c>
      <c r="Y44" s="110">
        <v>0</v>
      </c>
      <c r="Z44" s="78">
        <v>0</v>
      </c>
      <c r="AA44" s="79">
        <v>0</v>
      </c>
      <c r="AB44" s="110">
        <v>0</v>
      </c>
      <c r="AC44" s="110">
        <v>0</v>
      </c>
      <c r="AD44" s="80">
        <v>0</v>
      </c>
      <c r="AE44" s="80">
        <v>0</v>
      </c>
      <c r="AF44" s="78">
        <v>0</v>
      </c>
      <c r="AG44" s="112">
        <v>0</v>
      </c>
      <c r="AH44" s="81">
        <v>0</v>
      </c>
      <c r="AI44" s="81">
        <v>0</v>
      </c>
      <c r="AJ44" s="110">
        <f>3279+2015</f>
        <v>5294</v>
      </c>
      <c r="AK44" s="110">
        <v>0</v>
      </c>
      <c r="AL44" s="78">
        <v>414</v>
      </c>
      <c r="AM44" s="78">
        <v>0</v>
      </c>
      <c r="AN44" s="110">
        <f>43106+20656+2312</f>
        <v>66074</v>
      </c>
      <c r="AO44" s="114">
        <v>0</v>
      </c>
      <c r="AP44" s="78">
        <v>0</v>
      </c>
      <c r="AQ44" s="78">
        <v>0</v>
      </c>
      <c r="AR44" s="110">
        <v>700</v>
      </c>
      <c r="AS44" s="110">
        <v>0</v>
      </c>
      <c r="AT44" s="78">
        <v>0</v>
      </c>
      <c r="AU44" s="78">
        <v>0</v>
      </c>
      <c r="AV44" s="110">
        <v>0</v>
      </c>
      <c r="AW44" s="110">
        <v>0</v>
      </c>
      <c r="AX44" s="74">
        <f t="shared" si="12"/>
        <v>75482</v>
      </c>
      <c r="AY44" s="74"/>
      <c r="AZ44" s="74">
        <v>0</v>
      </c>
      <c r="BA44" s="74"/>
      <c r="BB44" s="82">
        <f t="shared" si="13"/>
        <v>107782</v>
      </c>
      <c r="BD44" s="122">
        <f t="shared" si="14"/>
        <v>75482</v>
      </c>
      <c r="BE44" s="122">
        <f t="shared" si="15"/>
        <v>0</v>
      </c>
      <c r="BL44" s="74"/>
      <c r="BM44" s="74">
        <v>75482</v>
      </c>
      <c r="BN44" s="74">
        <f t="shared" si="16"/>
        <v>76825.579599999997</v>
      </c>
      <c r="BO44" s="141">
        <v>1.78E-2</v>
      </c>
      <c r="BQ44" s="26"/>
    </row>
    <row r="45" spans="1:70" x14ac:dyDescent="0.25">
      <c r="A45" s="6">
        <v>50445</v>
      </c>
      <c r="B45" s="35" t="s">
        <v>84</v>
      </c>
      <c r="C45" s="74">
        <v>0</v>
      </c>
      <c r="D45" s="8">
        <v>2500</v>
      </c>
      <c r="E45" s="74">
        <v>0</v>
      </c>
      <c r="F45" s="74">
        <v>0</v>
      </c>
      <c r="G45" s="74">
        <v>0</v>
      </c>
      <c r="H45" s="74">
        <v>5950</v>
      </c>
      <c r="I45" s="74">
        <v>0</v>
      </c>
      <c r="J45" s="74">
        <v>0</v>
      </c>
      <c r="K45" s="74">
        <v>0</v>
      </c>
      <c r="L45" s="74">
        <f t="shared" si="11"/>
        <v>8450</v>
      </c>
      <c r="M45" s="74"/>
      <c r="N45" s="78">
        <v>0</v>
      </c>
      <c r="O45" s="78">
        <v>0</v>
      </c>
      <c r="P45" s="74">
        <v>0</v>
      </c>
      <c r="Q45" s="74">
        <v>0</v>
      </c>
      <c r="R45" s="78">
        <v>0</v>
      </c>
      <c r="S45" s="78">
        <v>0</v>
      </c>
      <c r="T45" s="74">
        <v>0</v>
      </c>
      <c r="U45" s="74">
        <v>0</v>
      </c>
      <c r="V45" s="78">
        <v>0</v>
      </c>
      <c r="W45" s="78">
        <v>0</v>
      </c>
      <c r="X45" s="110">
        <f>120+4096</f>
        <v>4216</v>
      </c>
      <c r="Y45" s="110">
        <f>1200+689</f>
        <v>1889</v>
      </c>
      <c r="Z45" s="78">
        <v>0</v>
      </c>
      <c r="AA45" s="79">
        <v>0</v>
      </c>
      <c r="AB45" s="110">
        <v>0</v>
      </c>
      <c r="AC45" s="110">
        <v>0</v>
      </c>
      <c r="AD45" s="80">
        <v>0</v>
      </c>
      <c r="AE45" s="80">
        <v>0</v>
      </c>
      <c r="AF45" s="78">
        <v>0</v>
      </c>
      <c r="AG45" s="112">
        <v>0</v>
      </c>
      <c r="AH45" s="81">
        <v>0</v>
      </c>
      <c r="AI45" s="81">
        <v>0</v>
      </c>
      <c r="AJ45" s="110">
        <v>0</v>
      </c>
      <c r="AK45" s="110">
        <v>0</v>
      </c>
      <c r="AL45" s="78">
        <v>0</v>
      </c>
      <c r="AM45" s="78">
        <v>0</v>
      </c>
      <c r="AN45" s="110">
        <v>0</v>
      </c>
      <c r="AO45" s="114">
        <v>0</v>
      </c>
      <c r="AP45" s="78">
        <v>0</v>
      </c>
      <c r="AQ45" s="78">
        <v>0</v>
      </c>
      <c r="AR45" s="110">
        <v>3000</v>
      </c>
      <c r="AS45" s="110">
        <v>0</v>
      </c>
      <c r="AT45" s="78">
        <v>0</v>
      </c>
      <c r="AU45" s="78">
        <v>0</v>
      </c>
      <c r="AV45" s="110">
        <v>0</v>
      </c>
      <c r="AW45" s="110">
        <v>0</v>
      </c>
      <c r="AX45" s="74">
        <f t="shared" si="12"/>
        <v>9105</v>
      </c>
      <c r="AY45" s="74"/>
      <c r="AZ45" s="74">
        <v>0</v>
      </c>
      <c r="BA45" s="74"/>
      <c r="BB45" s="82">
        <f t="shared" si="13"/>
        <v>17555</v>
      </c>
      <c r="BD45" s="122">
        <f t="shared" si="14"/>
        <v>7216</v>
      </c>
      <c r="BE45" s="122">
        <f t="shared" si="15"/>
        <v>1889</v>
      </c>
      <c r="BL45" s="74"/>
      <c r="BM45" s="74">
        <v>9105</v>
      </c>
      <c r="BN45" s="74">
        <f t="shared" si="16"/>
        <v>9267.0689999999995</v>
      </c>
      <c r="BO45" s="141">
        <v>1.78E-2</v>
      </c>
      <c r="BQ45" s="36"/>
      <c r="BR45" s="13"/>
    </row>
    <row r="46" spans="1:70" x14ac:dyDescent="0.25">
      <c r="A46" s="6">
        <v>50450</v>
      </c>
      <c r="B46" s="35" t="s">
        <v>85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2">
        <v>0</v>
      </c>
      <c r="I46" s="74">
        <v>0</v>
      </c>
      <c r="J46" s="74">
        <v>0</v>
      </c>
      <c r="K46" s="74">
        <v>0</v>
      </c>
      <c r="L46" s="74">
        <f t="shared" si="11"/>
        <v>0</v>
      </c>
      <c r="M46" s="74"/>
      <c r="N46" s="78">
        <v>0</v>
      </c>
      <c r="O46" s="78">
        <v>0</v>
      </c>
      <c r="P46" s="74">
        <v>0</v>
      </c>
      <c r="Q46" s="74">
        <v>0</v>
      </c>
      <c r="R46" s="78">
        <v>0</v>
      </c>
      <c r="S46" s="78">
        <v>0</v>
      </c>
      <c r="T46" s="74">
        <v>0</v>
      </c>
      <c r="U46" s="74">
        <v>0</v>
      </c>
      <c r="V46" s="78">
        <v>0</v>
      </c>
      <c r="W46" s="78">
        <v>0</v>
      </c>
      <c r="X46" s="110">
        <v>0</v>
      </c>
      <c r="Y46" s="110">
        <v>0</v>
      </c>
      <c r="Z46" s="78">
        <v>0</v>
      </c>
      <c r="AA46" s="79">
        <v>0</v>
      </c>
      <c r="AB46" s="110">
        <v>0</v>
      </c>
      <c r="AC46" s="110">
        <v>0</v>
      </c>
      <c r="AD46" s="80">
        <v>0</v>
      </c>
      <c r="AE46" s="80">
        <v>0</v>
      </c>
      <c r="AF46" s="78">
        <v>0</v>
      </c>
      <c r="AG46" s="112">
        <v>0</v>
      </c>
      <c r="AH46" s="81">
        <v>0</v>
      </c>
      <c r="AI46" s="81">
        <v>0</v>
      </c>
      <c r="AJ46" s="110">
        <v>0</v>
      </c>
      <c r="AK46" s="110">
        <v>0</v>
      </c>
      <c r="AL46" s="78">
        <v>0</v>
      </c>
      <c r="AM46" s="78">
        <v>0</v>
      </c>
      <c r="AN46" s="110">
        <v>0</v>
      </c>
      <c r="AO46" s="114">
        <v>0</v>
      </c>
      <c r="AP46" s="78">
        <v>0</v>
      </c>
      <c r="AQ46" s="78">
        <v>0</v>
      </c>
      <c r="AR46" s="110">
        <v>0</v>
      </c>
      <c r="AS46" s="110">
        <v>0</v>
      </c>
      <c r="AT46" s="78">
        <v>0</v>
      </c>
      <c r="AU46" s="78">
        <v>0</v>
      </c>
      <c r="AV46" s="110">
        <v>104000</v>
      </c>
      <c r="AW46" s="110">
        <v>0</v>
      </c>
      <c r="AX46" s="74">
        <f t="shared" si="12"/>
        <v>104000</v>
      </c>
      <c r="AY46" s="74"/>
      <c r="AZ46" s="74">
        <v>0</v>
      </c>
      <c r="BA46" s="74"/>
      <c r="BB46" s="82">
        <f t="shared" si="13"/>
        <v>104000</v>
      </c>
      <c r="BD46" s="122">
        <f t="shared" si="14"/>
        <v>104000</v>
      </c>
      <c r="BE46" s="122">
        <f t="shared" si="15"/>
        <v>0</v>
      </c>
      <c r="BL46" s="74"/>
      <c r="BM46" s="74">
        <v>104000</v>
      </c>
      <c r="BN46" s="74">
        <f t="shared" si="16"/>
        <v>105851.2</v>
      </c>
      <c r="BO46" s="141">
        <v>1.78E-2</v>
      </c>
      <c r="BP46" s="146"/>
      <c r="BQ46" s="36"/>
    </row>
    <row r="47" spans="1:70" x14ac:dyDescent="0.25">
      <c r="A47" s="6">
        <v>50455</v>
      </c>
      <c r="B47" s="35" t="s">
        <v>86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f t="shared" si="11"/>
        <v>0</v>
      </c>
      <c r="M47" s="74"/>
      <c r="N47" s="78">
        <v>0</v>
      </c>
      <c r="O47" s="78">
        <v>0</v>
      </c>
      <c r="P47" s="74">
        <v>0</v>
      </c>
      <c r="Q47" s="74">
        <v>0</v>
      </c>
      <c r="R47" s="78">
        <v>0</v>
      </c>
      <c r="S47" s="78">
        <v>0</v>
      </c>
      <c r="T47" s="74">
        <v>0</v>
      </c>
      <c r="U47" s="74">
        <v>0</v>
      </c>
      <c r="V47" s="78">
        <v>0</v>
      </c>
      <c r="W47" s="78">
        <v>0</v>
      </c>
      <c r="X47" s="110">
        <v>0</v>
      </c>
      <c r="Y47" s="110">
        <v>0</v>
      </c>
      <c r="Z47" s="78">
        <v>0</v>
      </c>
      <c r="AA47" s="79">
        <v>0</v>
      </c>
      <c r="AB47" s="110">
        <v>0</v>
      </c>
      <c r="AC47" s="110">
        <v>0</v>
      </c>
      <c r="AD47" s="80">
        <v>0</v>
      </c>
      <c r="AE47" s="80">
        <v>0</v>
      </c>
      <c r="AF47" s="78">
        <v>0</v>
      </c>
      <c r="AG47" s="112">
        <v>0</v>
      </c>
      <c r="AH47" s="81">
        <v>0</v>
      </c>
      <c r="AI47" s="81">
        <v>0</v>
      </c>
      <c r="AJ47" s="110">
        <v>0</v>
      </c>
      <c r="AK47" s="110">
        <v>0</v>
      </c>
      <c r="AL47" s="78">
        <v>0</v>
      </c>
      <c r="AM47" s="78">
        <v>0</v>
      </c>
      <c r="AN47" s="110">
        <v>0</v>
      </c>
      <c r="AO47" s="114">
        <v>0</v>
      </c>
      <c r="AP47" s="78">
        <v>0</v>
      </c>
      <c r="AQ47" s="78">
        <v>0</v>
      </c>
      <c r="AR47" s="110">
        <v>0</v>
      </c>
      <c r="AS47" s="110">
        <v>0</v>
      </c>
      <c r="AT47" s="78">
        <v>0</v>
      </c>
      <c r="AU47" s="78">
        <v>0</v>
      </c>
      <c r="AV47" s="110">
        <v>490800</v>
      </c>
      <c r="AW47" s="110">
        <v>0</v>
      </c>
      <c r="AX47" s="74">
        <f t="shared" si="12"/>
        <v>490800</v>
      </c>
      <c r="AY47" s="74"/>
      <c r="AZ47" s="74">
        <v>0</v>
      </c>
      <c r="BA47" s="74"/>
      <c r="BB47" s="82">
        <f t="shared" si="13"/>
        <v>490800</v>
      </c>
      <c r="BD47" s="122">
        <f t="shared" si="14"/>
        <v>490800</v>
      </c>
      <c r="BE47" s="122">
        <f t="shared" si="15"/>
        <v>0</v>
      </c>
      <c r="BL47" s="74"/>
      <c r="BM47" s="74">
        <v>490800</v>
      </c>
      <c r="BN47" s="74">
        <f t="shared" si="16"/>
        <v>499536.24</v>
      </c>
      <c r="BO47" s="141">
        <v>1.78E-2</v>
      </c>
      <c r="BP47" s="146"/>
      <c r="BQ47" s="36"/>
    </row>
    <row r="48" spans="1:70" x14ac:dyDescent="0.25">
      <c r="A48" s="6">
        <v>50456</v>
      </c>
      <c r="B48" s="35" t="s">
        <v>87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f t="shared" si="11"/>
        <v>0</v>
      </c>
      <c r="M48" s="74"/>
      <c r="N48" s="78">
        <v>0</v>
      </c>
      <c r="O48" s="78">
        <v>0</v>
      </c>
      <c r="P48" s="74">
        <v>0</v>
      </c>
      <c r="Q48" s="74">
        <v>0</v>
      </c>
      <c r="R48" s="78">
        <v>0</v>
      </c>
      <c r="S48" s="78">
        <v>0</v>
      </c>
      <c r="T48" s="74">
        <v>0</v>
      </c>
      <c r="U48" s="74">
        <v>0</v>
      </c>
      <c r="V48" s="78">
        <v>0</v>
      </c>
      <c r="W48" s="78">
        <v>0</v>
      </c>
      <c r="X48" s="110">
        <v>0</v>
      </c>
      <c r="Y48" s="110">
        <v>0</v>
      </c>
      <c r="Z48" s="78">
        <v>0</v>
      </c>
      <c r="AA48" s="79">
        <v>0</v>
      </c>
      <c r="AB48" s="110">
        <v>0</v>
      </c>
      <c r="AC48" s="110">
        <v>0</v>
      </c>
      <c r="AD48" s="80">
        <v>0</v>
      </c>
      <c r="AE48" s="80">
        <v>0</v>
      </c>
      <c r="AF48" s="78">
        <v>0</v>
      </c>
      <c r="AG48" s="112">
        <v>0</v>
      </c>
      <c r="AH48" s="81">
        <v>0</v>
      </c>
      <c r="AI48" s="81">
        <v>0</v>
      </c>
      <c r="AJ48" s="110">
        <v>0</v>
      </c>
      <c r="AK48" s="110">
        <v>0</v>
      </c>
      <c r="AL48" s="78">
        <v>0</v>
      </c>
      <c r="AM48" s="78">
        <v>0</v>
      </c>
      <c r="AN48" s="110">
        <v>0</v>
      </c>
      <c r="AO48" s="114">
        <v>0</v>
      </c>
      <c r="AP48" s="78">
        <v>0</v>
      </c>
      <c r="AQ48" s="78">
        <v>0</v>
      </c>
      <c r="AR48" s="110">
        <v>0</v>
      </c>
      <c r="AS48" s="110">
        <v>0</v>
      </c>
      <c r="AT48" s="78">
        <v>0</v>
      </c>
      <c r="AU48" s="78">
        <v>0</v>
      </c>
      <c r="AV48" s="110">
        <v>32800</v>
      </c>
      <c r="AW48" s="110">
        <v>0</v>
      </c>
      <c r="AX48" s="74">
        <f t="shared" si="12"/>
        <v>32800</v>
      </c>
      <c r="AY48" s="74"/>
      <c r="AZ48" s="74">
        <v>0</v>
      </c>
      <c r="BA48" s="74"/>
      <c r="BB48" s="82">
        <f t="shared" si="13"/>
        <v>32800</v>
      </c>
      <c r="BD48" s="122">
        <f t="shared" si="14"/>
        <v>32800</v>
      </c>
      <c r="BE48" s="122">
        <f t="shared" si="15"/>
        <v>0</v>
      </c>
      <c r="BL48" s="74"/>
      <c r="BM48" s="74">
        <v>32800</v>
      </c>
      <c r="BN48" s="74">
        <f t="shared" si="16"/>
        <v>33383.840000000004</v>
      </c>
      <c r="BO48" s="141">
        <v>1.78E-2</v>
      </c>
      <c r="BP48" s="155"/>
      <c r="BQ48" s="26"/>
    </row>
    <row r="49" spans="1:71" x14ac:dyDescent="0.25">
      <c r="A49" s="6">
        <v>50515</v>
      </c>
      <c r="B49" s="35" t="s">
        <v>193</v>
      </c>
      <c r="C49" s="74">
        <v>0</v>
      </c>
      <c r="D49" s="74">
        <v>12000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f t="shared" si="11"/>
        <v>12000</v>
      </c>
      <c r="M49" s="74"/>
      <c r="N49" s="78">
        <v>0</v>
      </c>
      <c r="O49" s="78">
        <v>0</v>
      </c>
      <c r="P49" s="74">
        <v>0</v>
      </c>
      <c r="Q49" s="74">
        <v>0</v>
      </c>
      <c r="R49" s="78">
        <v>9794</v>
      </c>
      <c r="S49" s="78">
        <v>0</v>
      </c>
      <c r="T49" s="74">
        <v>1072</v>
      </c>
      <c r="U49" s="74">
        <v>0</v>
      </c>
      <c r="V49" s="78">
        <v>0</v>
      </c>
      <c r="W49" s="78">
        <v>0</v>
      </c>
      <c r="X49" s="110">
        <v>74700</v>
      </c>
      <c r="Y49" s="110">
        <v>0</v>
      </c>
      <c r="Z49" s="78">
        <v>0</v>
      </c>
      <c r="AA49" s="79">
        <v>0</v>
      </c>
      <c r="AB49" s="110">
        <v>0</v>
      </c>
      <c r="AC49" s="110">
        <v>0</v>
      </c>
      <c r="AD49" s="80">
        <v>0</v>
      </c>
      <c r="AE49" s="80">
        <v>0</v>
      </c>
      <c r="AF49" s="78">
        <v>0</v>
      </c>
      <c r="AG49" s="112">
        <v>0</v>
      </c>
      <c r="AH49" s="81">
        <v>0</v>
      </c>
      <c r="AI49" s="81">
        <v>0</v>
      </c>
      <c r="AJ49" s="110">
        <v>12375</v>
      </c>
      <c r="AK49" s="110">
        <v>0</v>
      </c>
      <c r="AL49" s="78">
        <v>1556</v>
      </c>
      <c r="AM49" s="78">
        <v>0</v>
      </c>
      <c r="AN49" s="110">
        <v>8603</v>
      </c>
      <c r="AO49" s="114">
        <v>0</v>
      </c>
      <c r="AP49" s="78">
        <v>0</v>
      </c>
      <c r="AQ49" s="78">
        <v>0</v>
      </c>
      <c r="AR49" s="110">
        <v>21600</v>
      </c>
      <c r="AS49" s="110">
        <v>0</v>
      </c>
      <c r="AT49" s="78">
        <v>12000</v>
      </c>
      <c r="AU49" s="78">
        <v>0</v>
      </c>
      <c r="AV49" s="110">
        <v>0</v>
      </c>
      <c r="AW49" s="110">
        <v>0</v>
      </c>
      <c r="AX49" s="74">
        <f t="shared" si="12"/>
        <v>141700</v>
      </c>
      <c r="AY49" s="74"/>
      <c r="AZ49" s="74">
        <v>5000</v>
      </c>
      <c r="BA49" s="74"/>
      <c r="BB49" s="82">
        <f t="shared" si="13"/>
        <v>158700</v>
      </c>
      <c r="BD49" s="122">
        <f t="shared" si="14"/>
        <v>141700</v>
      </c>
      <c r="BE49" s="122">
        <f t="shared" si="15"/>
        <v>0</v>
      </c>
      <c r="BI49" s="5">
        <v>309635</v>
      </c>
      <c r="BL49" s="74"/>
      <c r="BM49" s="74">
        <v>141700</v>
      </c>
      <c r="BN49" s="74">
        <f t="shared" si="16"/>
        <v>144222.26</v>
      </c>
      <c r="BO49" s="141">
        <v>1.78E-2</v>
      </c>
      <c r="BQ49" s="7"/>
    </row>
    <row r="50" spans="1:71" x14ac:dyDescent="0.25">
      <c r="A50" s="6">
        <v>50520</v>
      </c>
      <c r="B50" s="35" t="s">
        <v>88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f t="shared" si="11"/>
        <v>0</v>
      </c>
      <c r="M50" s="74"/>
      <c r="N50" s="78">
        <v>0</v>
      </c>
      <c r="O50" s="78">
        <v>0</v>
      </c>
      <c r="P50" s="74">
        <v>0</v>
      </c>
      <c r="Q50" s="74">
        <v>0</v>
      </c>
      <c r="R50" s="78">
        <v>0</v>
      </c>
      <c r="S50" s="78">
        <v>0</v>
      </c>
      <c r="T50" s="74">
        <v>0</v>
      </c>
      <c r="U50" s="74">
        <v>0</v>
      </c>
      <c r="V50" s="78">
        <v>0</v>
      </c>
      <c r="W50" s="78">
        <v>0</v>
      </c>
      <c r="X50" s="110">
        <v>24000</v>
      </c>
      <c r="Y50" s="110">
        <v>0</v>
      </c>
      <c r="Z50" s="78">
        <v>0</v>
      </c>
      <c r="AA50" s="79">
        <v>0</v>
      </c>
      <c r="AB50" s="110">
        <v>0</v>
      </c>
      <c r="AC50" s="110">
        <v>0</v>
      </c>
      <c r="AD50" s="80">
        <v>0</v>
      </c>
      <c r="AE50" s="80">
        <v>0</v>
      </c>
      <c r="AF50" s="78">
        <v>0</v>
      </c>
      <c r="AG50" s="112">
        <v>0</v>
      </c>
      <c r="AH50" s="81">
        <v>0</v>
      </c>
      <c r="AI50" s="81">
        <v>0</v>
      </c>
      <c r="AJ50" s="110">
        <v>0</v>
      </c>
      <c r="AK50" s="110">
        <v>0</v>
      </c>
      <c r="AL50" s="78">
        <v>0</v>
      </c>
      <c r="AM50" s="78">
        <v>0</v>
      </c>
      <c r="AN50" s="110">
        <v>0</v>
      </c>
      <c r="AO50" s="114">
        <v>0</v>
      </c>
      <c r="AP50" s="78">
        <v>0</v>
      </c>
      <c r="AQ50" s="78">
        <v>0</v>
      </c>
      <c r="AR50" s="110">
        <v>0</v>
      </c>
      <c r="AS50" s="110">
        <v>0</v>
      </c>
      <c r="AT50" s="78">
        <v>0</v>
      </c>
      <c r="AU50" s="78">
        <v>0</v>
      </c>
      <c r="AV50" s="110">
        <v>0</v>
      </c>
      <c r="AW50" s="110">
        <v>0</v>
      </c>
      <c r="AX50" s="74">
        <f t="shared" si="12"/>
        <v>24000</v>
      </c>
      <c r="AY50" s="74"/>
      <c r="AZ50" s="74">
        <v>84768</v>
      </c>
      <c r="BA50" s="74"/>
      <c r="BB50" s="82">
        <f t="shared" si="13"/>
        <v>108768</v>
      </c>
      <c r="BD50" s="122">
        <f t="shared" si="14"/>
        <v>24000</v>
      </c>
      <c r="BE50" s="122">
        <f t="shared" si="15"/>
        <v>0</v>
      </c>
      <c r="BI50" s="5">
        <v>169538</v>
      </c>
      <c r="BL50" s="74"/>
      <c r="BM50" s="74">
        <v>24000</v>
      </c>
      <c r="BN50" s="74">
        <f t="shared" si="16"/>
        <v>24427.200000000001</v>
      </c>
      <c r="BO50" s="141">
        <v>1.78E-2</v>
      </c>
      <c r="BP50" s="146"/>
      <c r="BQ50" s="7"/>
    </row>
    <row r="51" spans="1:71" x14ac:dyDescent="0.25">
      <c r="A51" s="6">
        <v>50525</v>
      </c>
      <c r="B51" s="35" t="s">
        <v>89</v>
      </c>
      <c r="C51" s="74">
        <v>0</v>
      </c>
      <c r="D51" s="74">
        <v>11600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f t="shared" si="11"/>
        <v>11600</v>
      </c>
      <c r="M51" s="74"/>
      <c r="N51" s="78">
        <v>0</v>
      </c>
      <c r="O51" s="78">
        <v>0</v>
      </c>
      <c r="P51" s="74">
        <v>0</v>
      </c>
      <c r="Q51" s="74">
        <v>0</v>
      </c>
      <c r="R51" s="78">
        <v>0</v>
      </c>
      <c r="S51" s="78">
        <v>0</v>
      </c>
      <c r="T51" s="74">
        <v>0</v>
      </c>
      <c r="U51" s="74">
        <v>0</v>
      </c>
      <c r="V51" s="78">
        <v>0</v>
      </c>
      <c r="W51" s="78">
        <v>0</v>
      </c>
      <c r="X51" s="110">
        <v>45600</v>
      </c>
      <c r="Y51" s="110">
        <v>0</v>
      </c>
      <c r="Z51" s="78">
        <v>0</v>
      </c>
      <c r="AA51" s="79">
        <v>0</v>
      </c>
      <c r="AB51" s="110">
        <v>0</v>
      </c>
      <c r="AC51" s="110">
        <v>0</v>
      </c>
      <c r="AD51" s="80">
        <v>0</v>
      </c>
      <c r="AE51" s="80">
        <v>0</v>
      </c>
      <c r="AF51" s="78">
        <v>0</v>
      </c>
      <c r="AG51" s="112">
        <v>0</v>
      </c>
      <c r="AH51" s="81">
        <v>0</v>
      </c>
      <c r="AI51" s="81">
        <v>0</v>
      </c>
      <c r="AJ51" s="110">
        <v>0</v>
      </c>
      <c r="AK51" s="110">
        <v>0</v>
      </c>
      <c r="AL51" s="78">
        <v>0</v>
      </c>
      <c r="AM51" s="78">
        <v>0</v>
      </c>
      <c r="AN51" s="110">
        <v>0</v>
      </c>
      <c r="AO51" s="114">
        <v>0</v>
      </c>
      <c r="AP51" s="78">
        <v>0</v>
      </c>
      <c r="AQ51" s="78">
        <v>0</v>
      </c>
      <c r="AR51" s="110">
        <v>0</v>
      </c>
      <c r="AS51" s="110">
        <v>0</v>
      </c>
      <c r="AT51" s="78">
        <v>0</v>
      </c>
      <c r="AU51" s="78">
        <v>0</v>
      </c>
      <c r="AV51" s="110">
        <v>0</v>
      </c>
      <c r="AW51" s="110">
        <v>0</v>
      </c>
      <c r="AX51" s="74">
        <f t="shared" si="12"/>
        <v>45600</v>
      </c>
      <c r="AY51" s="74"/>
      <c r="AZ51" s="74">
        <v>160000</v>
      </c>
      <c r="BA51" s="74"/>
      <c r="BB51" s="82">
        <f t="shared" si="13"/>
        <v>217200</v>
      </c>
      <c r="BD51" s="122">
        <f t="shared" si="14"/>
        <v>45600</v>
      </c>
      <c r="BE51" s="122">
        <f t="shared" si="15"/>
        <v>0</v>
      </c>
      <c r="BI51" s="5">
        <v>138678</v>
      </c>
      <c r="BL51" s="74"/>
      <c r="BM51" s="74">
        <v>45600</v>
      </c>
      <c r="BN51" s="74">
        <f t="shared" si="16"/>
        <v>46411.68</v>
      </c>
      <c r="BO51" s="141">
        <v>1.78E-2</v>
      </c>
      <c r="BP51" s="146"/>
      <c r="BQ51" s="7"/>
    </row>
    <row r="52" spans="1:71" x14ac:dyDescent="0.25">
      <c r="A52" s="6">
        <v>50530</v>
      </c>
      <c r="B52" s="35" t="s">
        <v>90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f t="shared" si="11"/>
        <v>0</v>
      </c>
      <c r="M52" s="74"/>
      <c r="N52" s="78">
        <v>0</v>
      </c>
      <c r="O52" s="78">
        <v>0</v>
      </c>
      <c r="P52" s="74">
        <v>0</v>
      </c>
      <c r="Q52" s="74">
        <v>0</v>
      </c>
      <c r="R52" s="78">
        <v>0</v>
      </c>
      <c r="S52" s="78">
        <v>0</v>
      </c>
      <c r="T52" s="74">
        <v>0</v>
      </c>
      <c r="U52" s="74">
        <v>0</v>
      </c>
      <c r="V52" s="78">
        <v>0</v>
      </c>
      <c r="W52" s="78">
        <v>0</v>
      </c>
      <c r="X52" s="110">
        <v>6000</v>
      </c>
      <c r="Y52" s="110">
        <v>0</v>
      </c>
      <c r="Z52" s="78">
        <v>0</v>
      </c>
      <c r="AA52" s="79">
        <v>0</v>
      </c>
      <c r="AB52" s="110">
        <v>0</v>
      </c>
      <c r="AC52" s="110">
        <v>0</v>
      </c>
      <c r="AD52" s="80">
        <v>0</v>
      </c>
      <c r="AE52" s="80">
        <v>0</v>
      </c>
      <c r="AF52" s="78">
        <v>0</v>
      </c>
      <c r="AG52" s="112">
        <v>0</v>
      </c>
      <c r="AH52" s="81">
        <v>0</v>
      </c>
      <c r="AI52" s="81">
        <v>0</v>
      </c>
      <c r="AJ52" s="110">
        <v>0</v>
      </c>
      <c r="AK52" s="110">
        <v>0</v>
      </c>
      <c r="AL52" s="78">
        <v>0</v>
      </c>
      <c r="AM52" s="78">
        <v>0</v>
      </c>
      <c r="AN52" s="110">
        <v>0</v>
      </c>
      <c r="AO52" s="114">
        <v>0</v>
      </c>
      <c r="AP52" s="78">
        <v>0</v>
      </c>
      <c r="AQ52" s="78">
        <v>0</v>
      </c>
      <c r="AR52" s="110">
        <v>0</v>
      </c>
      <c r="AS52" s="110">
        <v>0</v>
      </c>
      <c r="AT52" s="78">
        <v>0</v>
      </c>
      <c r="AU52" s="78">
        <v>0</v>
      </c>
      <c r="AV52" s="110">
        <v>0</v>
      </c>
      <c r="AW52" s="110">
        <v>0</v>
      </c>
      <c r="AX52" s="74">
        <f t="shared" si="12"/>
        <v>6000</v>
      </c>
      <c r="AY52" s="74"/>
      <c r="AZ52" s="74">
        <v>16000</v>
      </c>
      <c r="BA52" s="74"/>
      <c r="BB52" s="82">
        <f t="shared" si="13"/>
        <v>22000</v>
      </c>
      <c r="BD52" s="122">
        <f t="shared" si="14"/>
        <v>6000</v>
      </c>
      <c r="BE52" s="122">
        <f t="shared" si="15"/>
        <v>0</v>
      </c>
      <c r="BI52" s="5">
        <f>BI49-SUM(BI50:BI51)</f>
        <v>1419</v>
      </c>
      <c r="BL52" s="74"/>
      <c r="BM52" s="74">
        <v>6000</v>
      </c>
      <c r="BN52" s="74">
        <f t="shared" si="16"/>
        <v>6106.8</v>
      </c>
      <c r="BO52" s="141">
        <v>1.78E-2</v>
      </c>
    </row>
    <row r="53" spans="1:71" x14ac:dyDescent="0.25">
      <c r="A53" s="6">
        <v>50605</v>
      </c>
      <c r="B53" s="35" t="s">
        <v>91</v>
      </c>
      <c r="C53" s="74">
        <v>0</v>
      </c>
      <c r="D53" s="74">
        <v>0</v>
      </c>
      <c r="E53" s="74">
        <v>0</v>
      </c>
      <c r="F53" s="74">
        <v>864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f t="shared" si="11"/>
        <v>864</v>
      </c>
      <c r="M53" s="74"/>
      <c r="N53" s="78">
        <v>0</v>
      </c>
      <c r="O53" s="78">
        <v>0</v>
      </c>
      <c r="P53" s="74">
        <v>0</v>
      </c>
      <c r="Q53" s="74">
        <v>0</v>
      </c>
      <c r="R53" s="78">
        <v>0</v>
      </c>
      <c r="S53" s="78">
        <v>0</v>
      </c>
      <c r="T53" s="74">
        <v>0</v>
      </c>
      <c r="U53" s="74">
        <v>0</v>
      </c>
      <c r="V53" s="78">
        <v>0</v>
      </c>
      <c r="W53" s="78">
        <v>0</v>
      </c>
      <c r="X53" s="110">
        <v>0</v>
      </c>
      <c r="Y53" s="110">
        <v>0</v>
      </c>
      <c r="Z53" s="78">
        <v>0</v>
      </c>
      <c r="AA53" s="79">
        <v>0</v>
      </c>
      <c r="AB53" s="110">
        <v>0</v>
      </c>
      <c r="AC53" s="110">
        <v>0</v>
      </c>
      <c r="AD53" s="80">
        <v>0</v>
      </c>
      <c r="AE53" s="80">
        <v>0</v>
      </c>
      <c r="AF53" s="78">
        <v>0</v>
      </c>
      <c r="AG53" s="112">
        <v>0</v>
      </c>
      <c r="AH53" s="81">
        <v>0</v>
      </c>
      <c r="AI53" s="81">
        <v>0</v>
      </c>
      <c r="AJ53" s="110">
        <v>0</v>
      </c>
      <c r="AK53" s="110">
        <v>0</v>
      </c>
      <c r="AL53" s="78">
        <v>0</v>
      </c>
      <c r="AM53" s="78">
        <v>0</v>
      </c>
      <c r="AN53" s="110">
        <v>0</v>
      </c>
      <c r="AO53" s="114">
        <v>0</v>
      </c>
      <c r="AP53" s="78">
        <v>0</v>
      </c>
      <c r="AQ53" s="78">
        <v>0</v>
      </c>
      <c r="AR53" s="110">
        <v>0</v>
      </c>
      <c r="AS53" s="110">
        <v>0</v>
      </c>
      <c r="AT53" s="78">
        <v>0</v>
      </c>
      <c r="AU53" s="78">
        <v>0</v>
      </c>
      <c r="AV53" s="110">
        <v>0</v>
      </c>
      <c r="AW53" s="110">
        <v>0</v>
      </c>
      <c r="AX53" s="74">
        <f t="shared" si="12"/>
        <v>0</v>
      </c>
      <c r="AY53" s="74"/>
      <c r="AZ53" s="74">
        <v>795096</v>
      </c>
      <c r="BA53" s="74"/>
      <c r="BB53" s="82">
        <f t="shared" si="13"/>
        <v>795960</v>
      </c>
      <c r="BD53" s="122">
        <f t="shared" si="14"/>
        <v>0</v>
      </c>
      <c r="BE53" s="122">
        <f t="shared" si="15"/>
        <v>0</v>
      </c>
      <c r="BL53" s="74"/>
      <c r="BM53" s="74">
        <v>0</v>
      </c>
      <c r="BN53" s="74">
        <f t="shared" si="16"/>
        <v>0</v>
      </c>
      <c r="BO53" s="141">
        <v>1.78E-2</v>
      </c>
      <c r="BP53" s="145"/>
      <c r="BQ53" s="24"/>
    </row>
    <row r="54" spans="1:71" x14ac:dyDescent="0.25">
      <c r="A54" s="6">
        <v>50610</v>
      </c>
      <c r="B54" s="35" t="s">
        <v>92</v>
      </c>
      <c r="C54" s="74">
        <v>0</v>
      </c>
      <c r="D54" s="74">
        <v>0</v>
      </c>
      <c r="E54" s="74">
        <v>0</v>
      </c>
      <c r="F54" s="74">
        <v>852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f t="shared" si="11"/>
        <v>852</v>
      </c>
      <c r="M54" s="74"/>
      <c r="N54" s="78">
        <v>0</v>
      </c>
      <c r="O54" s="78">
        <v>0</v>
      </c>
      <c r="P54" s="74">
        <v>0</v>
      </c>
      <c r="Q54" s="74">
        <v>0</v>
      </c>
      <c r="R54" s="78">
        <v>0</v>
      </c>
      <c r="S54" s="78">
        <v>0</v>
      </c>
      <c r="T54" s="74">
        <v>0</v>
      </c>
      <c r="U54" s="74">
        <v>0</v>
      </c>
      <c r="V54" s="78">
        <v>0</v>
      </c>
      <c r="W54" s="78">
        <v>0</v>
      </c>
      <c r="X54" s="110">
        <v>0</v>
      </c>
      <c r="Y54" s="110">
        <v>0</v>
      </c>
      <c r="Z54" s="78">
        <v>0</v>
      </c>
      <c r="AA54" s="79">
        <v>0</v>
      </c>
      <c r="AB54" s="110">
        <v>0</v>
      </c>
      <c r="AC54" s="110">
        <v>0</v>
      </c>
      <c r="AD54" s="80">
        <v>0</v>
      </c>
      <c r="AE54" s="80">
        <v>0</v>
      </c>
      <c r="AF54" s="78">
        <v>0</v>
      </c>
      <c r="AG54" s="112">
        <v>0</v>
      </c>
      <c r="AH54" s="81">
        <v>0</v>
      </c>
      <c r="AI54" s="81">
        <v>0</v>
      </c>
      <c r="AJ54" s="110">
        <v>0</v>
      </c>
      <c r="AK54" s="110">
        <v>0</v>
      </c>
      <c r="AL54" s="78">
        <v>0</v>
      </c>
      <c r="AM54" s="78">
        <v>0</v>
      </c>
      <c r="AN54" s="110">
        <v>0</v>
      </c>
      <c r="AO54" s="114">
        <v>0</v>
      </c>
      <c r="AP54" s="78">
        <v>0</v>
      </c>
      <c r="AQ54" s="78">
        <v>0</v>
      </c>
      <c r="AR54" s="110">
        <v>0</v>
      </c>
      <c r="AS54" s="110">
        <v>0</v>
      </c>
      <c r="AT54" s="78">
        <v>0</v>
      </c>
      <c r="AU54" s="78">
        <v>0</v>
      </c>
      <c r="AV54" s="110">
        <v>18876</v>
      </c>
      <c r="AW54" s="110">
        <v>0</v>
      </c>
      <c r="AX54" s="74">
        <f t="shared" si="12"/>
        <v>18876</v>
      </c>
      <c r="AY54" s="74"/>
      <c r="AZ54" s="74">
        <v>91188</v>
      </c>
      <c r="BA54" s="74"/>
      <c r="BB54" s="82">
        <f t="shared" si="13"/>
        <v>110916</v>
      </c>
      <c r="BD54" s="122">
        <f t="shared" si="14"/>
        <v>18876</v>
      </c>
      <c r="BE54" s="122">
        <f t="shared" si="15"/>
        <v>0</v>
      </c>
      <c r="BL54" s="74"/>
      <c r="BM54" s="74">
        <v>18876</v>
      </c>
      <c r="BN54" s="74">
        <f t="shared" si="16"/>
        <v>19211.9928</v>
      </c>
      <c r="BO54" s="141">
        <v>1.78E-2</v>
      </c>
      <c r="BQ54" s="7"/>
      <c r="BR54" s="13"/>
    </row>
    <row r="55" spans="1:71" x14ac:dyDescent="0.25">
      <c r="A55" s="6">
        <v>50615</v>
      </c>
      <c r="B55" s="35" t="s">
        <v>93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f t="shared" si="11"/>
        <v>0</v>
      </c>
      <c r="M55" s="74"/>
      <c r="N55" s="78">
        <v>0</v>
      </c>
      <c r="O55" s="78">
        <v>0</v>
      </c>
      <c r="P55" s="74">
        <v>0</v>
      </c>
      <c r="Q55" s="74">
        <v>0</v>
      </c>
      <c r="R55" s="78">
        <v>0</v>
      </c>
      <c r="S55" s="78">
        <v>0</v>
      </c>
      <c r="T55" s="74">
        <v>0</v>
      </c>
      <c r="U55" s="74">
        <v>0</v>
      </c>
      <c r="V55" s="78">
        <v>0</v>
      </c>
      <c r="W55" s="78">
        <v>0</v>
      </c>
      <c r="X55" s="110">
        <v>0</v>
      </c>
      <c r="Y55" s="110">
        <v>0</v>
      </c>
      <c r="Z55" s="78">
        <v>0</v>
      </c>
      <c r="AA55" s="79">
        <v>0</v>
      </c>
      <c r="AB55" s="110">
        <v>0</v>
      </c>
      <c r="AC55" s="110">
        <v>0</v>
      </c>
      <c r="AD55" s="80">
        <v>0</v>
      </c>
      <c r="AE55" s="80">
        <v>0</v>
      </c>
      <c r="AF55" s="78">
        <v>0</v>
      </c>
      <c r="AG55" s="112">
        <v>0</v>
      </c>
      <c r="AH55" s="81">
        <v>0</v>
      </c>
      <c r="AI55" s="81">
        <v>0</v>
      </c>
      <c r="AJ55" s="110">
        <v>0</v>
      </c>
      <c r="AK55" s="110">
        <v>0</v>
      </c>
      <c r="AL55" s="78">
        <v>0</v>
      </c>
      <c r="AM55" s="78">
        <v>0</v>
      </c>
      <c r="AN55" s="110">
        <v>0</v>
      </c>
      <c r="AO55" s="114">
        <v>0</v>
      </c>
      <c r="AP55" s="78">
        <v>0</v>
      </c>
      <c r="AQ55" s="78">
        <v>0</v>
      </c>
      <c r="AR55" s="110">
        <v>0</v>
      </c>
      <c r="AS55" s="110">
        <v>0</v>
      </c>
      <c r="AT55" s="78">
        <v>0</v>
      </c>
      <c r="AU55" s="78">
        <v>0</v>
      </c>
      <c r="AV55" s="110">
        <v>0</v>
      </c>
      <c r="AW55" s="110">
        <v>0</v>
      </c>
      <c r="AX55" s="74">
        <f t="shared" si="12"/>
        <v>0</v>
      </c>
      <c r="AY55" s="74"/>
      <c r="AZ55" s="74">
        <v>450816</v>
      </c>
      <c r="BA55" s="74"/>
      <c r="BB55" s="82">
        <f t="shared" si="13"/>
        <v>450816</v>
      </c>
      <c r="BD55" s="122">
        <f t="shared" si="14"/>
        <v>0</v>
      </c>
      <c r="BE55" s="122">
        <f t="shared" si="15"/>
        <v>0</v>
      </c>
      <c r="BL55" s="74"/>
      <c r="BM55" s="74">
        <v>0</v>
      </c>
      <c r="BN55" s="74">
        <f t="shared" si="16"/>
        <v>0</v>
      </c>
      <c r="BO55" s="141">
        <v>1.78E-2</v>
      </c>
      <c r="BP55" s="146"/>
      <c r="BQ55" s="7"/>
    </row>
    <row r="56" spans="1:71" x14ac:dyDescent="0.25">
      <c r="A56" s="6">
        <v>50620</v>
      </c>
      <c r="B56" s="35" t="s">
        <v>94</v>
      </c>
      <c r="C56" s="74">
        <v>0</v>
      </c>
      <c r="D56" s="74">
        <v>0</v>
      </c>
      <c r="E56" s="74">
        <v>0</v>
      </c>
      <c r="F56" s="74">
        <v>3948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f t="shared" si="11"/>
        <v>3948</v>
      </c>
      <c r="M56" s="74"/>
      <c r="N56" s="78">
        <v>0</v>
      </c>
      <c r="O56" s="78">
        <v>0</v>
      </c>
      <c r="P56" s="74">
        <v>0</v>
      </c>
      <c r="Q56" s="74">
        <v>0</v>
      </c>
      <c r="R56" s="78">
        <v>0</v>
      </c>
      <c r="S56" s="78">
        <v>0</v>
      </c>
      <c r="T56" s="74">
        <v>0</v>
      </c>
      <c r="U56" s="74">
        <v>0</v>
      </c>
      <c r="V56" s="78">
        <v>0</v>
      </c>
      <c r="W56" s="78">
        <v>0</v>
      </c>
      <c r="X56" s="110">
        <v>0</v>
      </c>
      <c r="Y56" s="110">
        <v>0</v>
      </c>
      <c r="Z56" s="78">
        <v>0</v>
      </c>
      <c r="AA56" s="79">
        <v>0</v>
      </c>
      <c r="AB56" s="110">
        <v>0</v>
      </c>
      <c r="AC56" s="110">
        <v>0</v>
      </c>
      <c r="AD56" s="80">
        <v>0</v>
      </c>
      <c r="AE56" s="80">
        <v>0</v>
      </c>
      <c r="AF56" s="78">
        <v>0</v>
      </c>
      <c r="AG56" s="112">
        <v>0</v>
      </c>
      <c r="AH56" s="81">
        <v>0</v>
      </c>
      <c r="AI56" s="81">
        <v>0</v>
      </c>
      <c r="AJ56" s="110">
        <v>0</v>
      </c>
      <c r="AK56" s="110">
        <v>0</v>
      </c>
      <c r="AL56" s="78">
        <v>0</v>
      </c>
      <c r="AM56" s="78">
        <v>0</v>
      </c>
      <c r="AN56" s="110">
        <v>0</v>
      </c>
      <c r="AO56" s="114">
        <v>0</v>
      </c>
      <c r="AP56" s="78">
        <v>0</v>
      </c>
      <c r="AQ56" s="78">
        <v>0</v>
      </c>
      <c r="AR56" s="110">
        <v>0</v>
      </c>
      <c r="AS56" s="110">
        <v>0</v>
      </c>
      <c r="AT56" s="78">
        <v>0</v>
      </c>
      <c r="AU56" s="78">
        <v>0</v>
      </c>
      <c r="AV56" s="110">
        <v>0</v>
      </c>
      <c r="AW56" s="110">
        <v>0</v>
      </c>
      <c r="AX56" s="74">
        <f t="shared" ref="AX56:AX78" si="17">SUM(N56:AW56)</f>
        <v>0</v>
      </c>
      <c r="AY56" s="74"/>
      <c r="AZ56" s="74">
        <v>0</v>
      </c>
      <c r="BA56" s="74"/>
      <c r="BB56" s="82">
        <f t="shared" si="13"/>
        <v>3948</v>
      </c>
      <c r="BD56" s="122">
        <f t="shared" si="14"/>
        <v>0</v>
      </c>
      <c r="BE56" s="122">
        <f t="shared" si="15"/>
        <v>0</v>
      </c>
      <c r="BL56" s="74"/>
      <c r="BM56" s="74">
        <v>0</v>
      </c>
      <c r="BN56" s="74">
        <f t="shared" si="16"/>
        <v>0</v>
      </c>
      <c r="BO56" s="141">
        <v>1.78E-2</v>
      </c>
      <c r="BQ56" s="26"/>
    </row>
    <row r="57" spans="1:71" x14ac:dyDescent="0.25">
      <c r="A57" s="6">
        <v>50625</v>
      </c>
      <c r="B57" s="35" t="s">
        <v>95</v>
      </c>
      <c r="C57" s="74">
        <v>0</v>
      </c>
      <c r="D57" s="74">
        <v>0</v>
      </c>
      <c r="E57" s="74">
        <v>0</v>
      </c>
      <c r="F57" s="74">
        <v>5112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f t="shared" si="11"/>
        <v>5112</v>
      </c>
      <c r="M57" s="74"/>
      <c r="N57" s="78">
        <v>0</v>
      </c>
      <c r="O57" s="78">
        <v>0</v>
      </c>
      <c r="P57" s="74">
        <v>0</v>
      </c>
      <c r="Q57" s="74">
        <v>0</v>
      </c>
      <c r="R57" s="78">
        <v>0</v>
      </c>
      <c r="S57" s="78">
        <v>0</v>
      </c>
      <c r="T57" s="74">
        <v>0</v>
      </c>
      <c r="U57" s="74">
        <v>0</v>
      </c>
      <c r="V57" s="78">
        <v>0</v>
      </c>
      <c r="W57" s="78">
        <v>0</v>
      </c>
      <c r="X57" s="110">
        <v>0</v>
      </c>
      <c r="Y57" s="110">
        <v>0</v>
      </c>
      <c r="Z57" s="78">
        <v>0</v>
      </c>
      <c r="AA57" s="79">
        <v>0</v>
      </c>
      <c r="AB57" s="110">
        <v>0</v>
      </c>
      <c r="AC57" s="110">
        <v>0</v>
      </c>
      <c r="AD57" s="80">
        <v>0</v>
      </c>
      <c r="AE57" s="80">
        <v>0</v>
      </c>
      <c r="AF57" s="78">
        <v>0</v>
      </c>
      <c r="AG57" s="112">
        <v>0</v>
      </c>
      <c r="AH57" s="81">
        <v>0</v>
      </c>
      <c r="AI57" s="81">
        <v>0</v>
      </c>
      <c r="AJ57" s="110">
        <v>0</v>
      </c>
      <c r="AK57" s="110">
        <v>0</v>
      </c>
      <c r="AL57" s="78">
        <v>0</v>
      </c>
      <c r="AM57" s="78">
        <v>0</v>
      </c>
      <c r="AN57" s="110">
        <v>0</v>
      </c>
      <c r="AO57" s="114">
        <v>0</v>
      </c>
      <c r="AP57" s="78">
        <v>0</v>
      </c>
      <c r="AQ57" s="78">
        <v>0</v>
      </c>
      <c r="AR57" s="110">
        <v>0</v>
      </c>
      <c r="AS57" s="110">
        <v>0</v>
      </c>
      <c r="AT57" s="78">
        <v>0</v>
      </c>
      <c r="AU57" s="78">
        <v>0</v>
      </c>
      <c r="AV57" s="110">
        <v>0</v>
      </c>
      <c r="AW57" s="110">
        <v>0</v>
      </c>
      <c r="AX57" s="74">
        <f t="shared" si="17"/>
        <v>0</v>
      </c>
      <c r="AY57" s="74"/>
      <c r="AZ57" s="74">
        <v>0</v>
      </c>
      <c r="BA57" s="74"/>
      <c r="BB57" s="82">
        <f t="shared" si="13"/>
        <v>5112</v>
      </c>
      <c r="BD57" s="122">
        <f t="shared" si="14"/>
        <v>0</v>
      </c>
      <c r="BE57" s="122">
        <f t="shared" si="15"/>
        <v>0</v>
      </c>
      <c r="BL57" s="74"/>
      <c r="BM57" s="74">
        <v>0</v>
      </c>
      <c r="BN57" s="74">
        <f t="shared" si="16"/>
        <v>0</v>
      </c>
      <c r="BO57" s="141">
        <v>1.78E-2</v>
      </c>
    </row>
    <row r="58" spans="1:71" x14ac:dyDescent="0.25">
      <c r="A58" s="6">
        <v>50630</v>
      </c>
      <c r="B58" s="35" t="s">
        <v>96</v>
      </c>
      <c r="C58" s="74">
        <v>0</v>
      </c>
      <c r="D58" s="74">
        <v>0</v>
      </c>
      <c r="E58" s="74">
        <v>0</v>
      </c>
      <c r="F58" s="74">
        <v>2172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f t="shared" si="11"/>
        <v>2172</v>
      </c>
      <c r="M58" s="74"/>
      <c r="N58" s="78">
        <v>0</v>
      </c>
      <c r="O58" s="78">
        <v>32256</v>
      </c>
      <c r="P58" s="74">
        <v>0</v>
      </c>
      <c r="Q58" s="74">
        <v>0</v>
      </c>
      <c r="R58" s="78">
        <v>0</v>
      </c>
      <c r="S58" s="78">
        <v>3936</v>
      </c>
      <c r="T58" s="74">
        <v>0</v>
      </c>
      <c r="U58" s="74">
        <v>462</v>
      </c>
      <c r="V58" s="78">
        <v>0</v>
      </c>
      <c r="W58" s="78">
        <v>0</v>
      </c>
      <c r="X58" s="110">
        <v>0</v>
      </c>
      <c r="Y58" s="110">
        <v>336</v>
      </c>
      <c r="Z58" s="78">
        <v>0</v>
      </c>
      <c r="AA58" s="79">
        <v>0</v>
      </c>
      <c r="AB58" s="110">
        <v>0</v>
      </c>
      <c r="AC58" s="110">
        <v>30024</v>
      </c>
      <c r="AD58" s="80">
        <v>0</v>
      </c>
      <c r="AE58" s="80">
        <v>0</v>
      </c>
      <c r="AF58" s="78">
        <v>0</v>
      </c>
      <c r="AG58" s="112">
        <v>15876</v>
      </c>
      <c r="AH58" s="81">
        <v>0</v>
      </c>
      <c r="AI58" s="81">
        <v>0</v>
      </c>
      <c r="AJ58" s="110">
        <v>0</v>
      </c>
      <c r="AK58" s="110">
        <v>8928</v>
      </c>
      <c r="AL58" s="78">
        <v>0</v>
      </c>
      <c r="AM58" s="78">
        <v>996</v>
      </c>
      <c r="AN58" s="110">
        <v>0</v>
      </c>
      <c r="AO58" s="114">
        <v>8808</v>
      </c>
      <c r="AP58" s="78">
        <v>0</v>
      </c>
      <c r="AQ58" s="78">
        <v>3996</v>
      </c>
      <c r="AR58" s="110">
        <v>0</v>
      </c>
      <c r="AS58" s="110">
        <v>492</v>
      </c>
      <c r="AT58" s="78">
        <v>0</v>
      </c>
      <c r="AU58" s="78">
        <v>588</v>
      </c>
      <c r="AV58" s="110">
        <v>0</v>
      </c>
      <c r="AW58" s="110">
        <v>12180</v>
      </c>
      <c r="AX58" s="74">
        <f t="shared" si="17"/>
        <v>118878</v>
      </c>
      <c r="AY58" s="74"/>
      <c r="AZ58" s="74">
        <v>0</v>
      </c>
      <c r="BA58" s="74"/>
      <c r="BB58" s="82">
        <f t="shared" si="13"/>
        <v>121050</v>
      </c>
      <c r="BD58" s="122">
        <f t="shared" si="14"/>
        <v>0</v>
      </c>
      <c r="BE58" s="122">
        <f t="shared" si="15"/>
        <v>118878</v>
      </c>
      <c r="BL58" s="74"/>
      <c r="BM58" s="74">
        <v>118878</v>
      </c>
      <c r="BN58" s="74">
        <f t="shared" si="16"/>
        <v>120994.02840000001</v>
      </c>
      <c r="BO58" s="141">
        <v>1.78E-2</v>
      </c>
      <c r="BQ58" s="7"/>
    </row>
    <row r="59" spans="1:71" ht="14.25" customHeight="1" x14ac:dyDescent="0.25">
      <c r="A59" s="6">
        <v>50635</v>
      </c>
      <c r="B59" s="35" t="s">
        <v>97</v>
      </c>
      <c r="C59" s="74">
        <v>0</v>
      </c>
      <c r="D59" s="74">
        <v>0</v>
      </c>
      <c r="E59" s="74">
        <v>0</v>
      </c>
      <c r="F59" s="74">
        <v>840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f t="shared" si="11"/>
        <v>840</v>
      </c>
      <c r="M59" s="74"/>
      <c r="N59" s="78">
        <v>85224</v>
      </c>
      <c r="O59" s="78">
        <v>0</v>
      </c>
      <c r="P59" s="74">
        <v>0</v>
      </c>
      <c r="Q59" s="74">
        <v>0</v>
      </c>
      <c r="R59" s="78">
        <v>20148</v>
      </c>
      <c r="S59" s="78">
        <v>0</v>
      </c>
      <c r="T59" s="74">
        <v>2187</v>
      </c>
      <c r="U59" s="74">
        <v>0</v>
      </c>
      <c r="V59" s="78">
        <v>0</v>
      </c>
      <c r="W59" s="78">
        <v>0</v>
      </c>
      <c r="X59" s="110">
        <v>0</v>
      </c>
      <c r="Y59" s="110">
        <v>0</v>
      </c>
      <c r="Z59" s="78">
        <v>0</v>
      </c>
      <c r="AA59" s="79">
        <v>0</v>
      </c>
      <c r="AB59" s="110">
        <v>92832</v>
      </c>
      <c r="AC59" s="110">
        <v>0</v>
      </c>
      <c r="AD59" s="80">
        <v>0</v>
      </c>
      <c r="AE59" s="80">
        <v>0</v>
      </c>
      <c r="AF59" s="78">
        <v>56340</v>
      </c>
      <c r="AG59" s="112">
        <v>0</v>
      </c>
      <c r="AH59" s="81">
        <v>0</v>
      </c>
      <c r="AI59" s="81">
        <v>0</v>
      </c>
      <c r="AJ59" s="110">
        <v>28140</v>
      </c>
      <c r="AK59" s="110">
        <v>0</v>
      </c>
      <c r="AL59" s="78">
        <v>3372</v>
      </c>
      <c r="AM59" s="78">
        <v>0</v>
      </c>
      <c r="AN59" s="110">
        <v>16860</v>
      </c>
      <c r="AO59" s="114">
        <v>0</v>
      </c>
      <c r="AP59" s="78">
        <v>0</v>
      </c>
      <c r="AQ59" s="78">
        <v>0</v>
      </c>
      <c r="AR59" s="110">
        <v>0</v>
      </c>
      <c r="AS59" s="110">
        <v>0</v>
      </c>
      <c r="AT59" s="78">
        <v>1980</v>
      </c>
      <c r="AU59" s="78">
        <v>0</v>
      </c>
      <c r="AV59" s="110">
        <v>2628</v>
      </c>
      <c r="AW59" s="110">
        <v>0</v>
      </c>
      <c r="AX59" s="74">
        <f t="shared" si="17"/>
        <v>309711</v>
      </c>
      <c r="AY59" s="74"/>
      <c r="AZ59" s="74">
        <v>1320</v>
      </c>
      <c r="BA59" s="74"/>
      <c r="BB59" s="82">
        <f t="shared" si="13"/>
        <v>311871</v>
      </c>
      <c r="BD59" s="122">
        <f t="shared" si="14"/>
        <v>309711</v>
      </c>
      <c r="BE59" s="122">
        <f t="shared" si="15"/>
        <v>0</v>
      </c>
      <c r="BL59" s="74"/>
      <c r="BM59" s="74">
        <v>309711</v>
      </c>
      <c r="BN59" s="74">
        <f t="shared" si="16"/>
        <v>315223.85580000002</v>
      </c>
      <c r="BO59" s="141">
        <v>1.78E-2</v>
      </c>
      <c r="BQ59" s="7"/>
    </row>
    <row r="60" spans="1:71" x14ac:dyDescent="0.25">
      <c r="A60" s="6">
        <v>50640</v>
      </c>
      <c r="B60" s="35" t="s">
        <v>98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f t="shared" si="11"/>
        <v>0</v>
      </c>
      <c r="M60" s="74"/>
      <c r="N60" s="78">
        <v>0</v>
      </c>
      <c r="O60" s="78">
        <v>0</v>
      </c>
      <c r="P60" s="74">
        <v>0</v>
      </c>
      <c r="Q60" s="74">
        <v>0</v>
      </c>
      <c r="R60" s="78">
        <v>0</v>
      </c>
      <c r="S60" s="78">
        <v>0</v>
      </c>
      <c r="T60" s="74">
        <v>0</v>
      </c>
      <c r="U60" s="74">
        <v>0</v>
      </c>
      <c r="V60" s="78">
        <v>0</v>
      </c>
      <c r="W60" s="78">
        <v>0</v>
      </c>
      <c r="X60" s="110">
        <v>0</v>
      </c>
      <c r="Y60" s="110">
        <v>0</v>
      </c>
      <c r="Z60" s="78">
        <v>0</v>
      </c>
      <c r="AA60" s="79">
        <v>0</v>
      </c>
      <c r="AB60" s="110">
        <v>0</v>
      </c>
      <c r="AC60" s="110">
        <v>0</v>
      </c>
      <c r="AD60" s="80">
        <v>0</v>
      </c>
      <c r="AE60" s="80">
        <v>0</v>
      </c>
      <c r="AF60" s="78">
        <v>0</v>
      </c>
      <c r="AG60" s="112">
        <v>0</v>
      </c>
      <c r="AH60" s="81">
        <v>0</v>
      </c>
      <c r="AI60" s="81">
        <v>0</v>
      </c>
      <c r="AJ60" s="110">
        <v>0</v>
      </c>
      <c r="AK60" s="110">
        <v>0</v>
      </c>
      <c r="AL60" s="78">
        <v>0</v>
      </c>
      <c r="AM60" s="78">
        <v>0</v>
      </c>
      <c r="AN60" s="110">
        <v>0</v>
      </c>
      <c r="AO60" s="114">
        <v>0</v>
      </c>
      <c r="AP60" s="78">
        <v>0</v>
      </c>
      <c r="AQ60" s="78">
        <v>0</v>
      </c>
      <c r="AR60" s="110">
        <v>0</v>
      </c>
      <c r="AS60" s="110">
        <v>0</v>
      </c>
      <c r="AT60" s="78">
        <v>0</v>
      </c>
      <c r="AU60" s="78">
        <v>0</v>
      </c>
      <c r="AV60" s="110">
        <v>0</v>
      </c>
      <c r="AW60" s="110">
        <v>0</v>
      </c>
      <c r="AX60" s="74">
        <f t="shared" si="17"/>
        <v>0</v>
      </c>
      <c r="AY60" s="74"/>
      <c r="AZ60" s="74">
        <v>541</v>
      </c>
      <c r="BA60" s="74"/>
      <c r="BB60" s="82">
        <f t="shared" si="13"/>
        <v>541</v>
      </c>
      <c r="BD60" s="122">
        <f t="shared" si="14"/>
        <v>0</v>
      </c>
      <c r="BE60" s="122">
        <f t="shared" si="15"/>
        <v>0</v>
      </c>
      <c r="BL60" s="74"/>
      <c r="BM60" s="74">
        <v>0</v>
      </c>
      <c r="BN60" s="74">
        <f t="shared" si="16"/>
        <v>0</v>
      </c>
      <c r="BO60" s="141">
        <v>1.78E-2</v>
      </c>
      <c r="BQ60" s="26"/>
    </row>
    <row r="61" spans="1:71" x14ac:dyDescent="0.25">
      <c r="A61" s="6">
        <v>50810</v>
      </c>
      <c r="B61" s="35" t="s">
        <v>99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f t="shared" si="11"/>
        <v>0</v>
      </c>
      <c r="M61" s="74"/>
      <c r="N61" s="78">
        <v>72000</v>
      </c>
      <c r="O61" s="78">
        <v>0</v>
      </c>
      <c r="P61" s="74">
        <v>0</v>
      </c>
      <c r="Q61" s="74">
        <v>0</v>
      </c>
      <c r="R61" s="78">
        <v>105448</v>
      </c>
      <c r="S61" s="78">
        <v>0</v>
      </c>
      <c r="T61" s="74">
        <v>25768</v>
      </c>
      <c r="U61" s="74">
        <v>0</v>
      </c>
      <c r="V61" s="78">
        <v>348980</v>
      </c>
      <c r="W61" s="78">
        <v>0</v>
      </c>
      <c r="X61" s="110">
        <v>0</v>
      </c>
      <c r="Y61" s="110">
        <v>0</v>
      </c>
      <c r="Z61" s="78">
        <v>0</v>
      </c>
      <c r="AA61" s="79">
        <v>0</v>
      </c>
      <c r="AB61" s="110">
        <v>0</v>
      </c>
      <c r="AC61" s="110">
        <v>0</v>
      </c>
      <c r="AD61" s="80">
        <v>0</v>
      </c>
      <c r="AE61" s="80">
        <v>0</v>
      </c>
      <c r="AF61" s="78">
        <v>0</v>
      </c>
      <c r="AG61" s="112">
        <v>0</v>
      </c>
      <c r="AH61" s="81">
        <v>0</v>
      </c>
      <c r="AI61" s="81">
        <v>0</v>
      </c>
      <c r="AJ61" s="110">
        <v>0</v>
      </c>
      <c r="AK61" s="110">
        <v>0</v>
      </c>
      <c r="AL61" s="78">
        <v>24000</v>
      </c>
      <c r="AM61" s="78">
        <v>0</v>
      </c>
      <c r="AN61" s="110">
        <v>1200</v>
      </c>
      <c r="AO61" s="114">
        <v>0</v>
      </c>
      <c r="AP61" s="100">
        <v>75000</v>
      </c>
      <c r="AQ61" s="78">
        <v>0</v>
      </c>
      <c r="AR61" s="110">
        <v>0</v>
      </c>
      <c r="AS61" s="110">
        <v>0</v>
      </c>
      <c r="AT61" s="78">
        <v>0</v>
      </c>
      <c r="AU61" s="78">
        <v>0</v>
      </c>
      <c r="AV61" s="110">
        <v>0</v>
      </c>
      <c r="AW61" s="110">
        <v>0</v>
      </c>
      <c r="AX61" s="74">
        <f t="shared" si="17"/>
        <v>652396</v>
      </c>
      <c r="AY61" s="74"/>
      <c r="AZ61" s="74">
        <f>9831850+248293</f>
        <v>10080143</v>
      </c>
      <c r="BA61" s="74"/>
      <c r="BB61" s="82">
        <f t="shared" si="13"/>
        <v>10732539</v>
      </c>
      <c r="BD61" s="122">
        <f t="shared" si="14"/>
        <v>652396</v>
      </c>
      <c r="BE61" s="122">
        <f t="shared" si="15"/>
        <v>0</v>
      </c>
      <c r="BL61" s="74"/>
      <c r="BM61" s="74">
        <v>652396</v>
      </c>
      <c r="BN61" s="74">
        <f t="shared" si="16"/>
        <v>664008.64880000008</v>
      </c>
      <c r="BO61" s="141">
        <v>1.78E-2</v>
      </c>
      <c r="BQ61" s="26"/>
    </row>
    <row r="62" spans="1:71" x14ac:dyDescent="0.25">
      <c r="A62" s="6">
        <v>50910</v>
      </c>
      <c r="B62" s="35" t="s">
        <v>100</v>
      </c>
      <c r="C62" s="74">
        <v>42840</v>
      </c>
      <c r="D62" s="74">
        <v>0</v>
      </c>
      <c r="E62" s="74">
        <v>0</v>
      </c>
      <c r="F62" s="74">
        <v>5908</v>
      </c>
      <c r="G62" s="74">
        <v>2660</v>
      </c>
      <c r="H62" s="74">
        <v>3915</v>
      </c>
      <c r="I62" s="74">
        <v>0</v>
      </c>
      <c r="J62" s="74">
        <v>925</v>
      </c>
      <c r="K62" s="74">
        <v>0</v>
      </c>
      <c r="L62" s="74">
        <f t="shared" si="11"/>
        <v>56248</v>
      </c>
      <c r="M62" s="74"/>
      <c r="N62" s="78">
        <v>0</v>
      </c>
      <c r="O62" s="78">
        <v>0</v>
      </c>
      <c r="P62" s="74">
        <v>0</v>
      </c>
      <c r="Q62" s="74">
        <v>0</v>
      </c>
      <c r="R62" s="78">
        <v>0</v>
      </c>
      <c r="S62" s="78">
        <v>0</v>
      </c>
      <c r="T62" s="74">
        <v>0</v>
      </c>
      <c r="U62" s="74">
        <v>0</v>
      </c>
      <c r="V62" s="78">
        <v>0</v>
      </c>
      <c r="W62" s="78">
        <v>0</v>
      </c>
      <c r="X62" s="110">
        <v>0</v>
      </c>
      <c r="Y62" s="110">
        <v>0</v>
      </c>
      <c r="Z62" s="78">
        <v>500</v>
      </c>
      <c r="AA62" s="79">
        <v>0</v>
      </c>
      <c r="AB62" s="110">
        <v>0</v>
      </c>
      <c r="AC62" s="110">
        <v>0</v>
      </c>
      <c r="AD62" s="80">
        <v>0</v>
      </c>
      <c r="AE62" s="80">
        <v>0</v>
      </c>
      <c r="AF62" s="78">
        <v>0</v>
      </c>
      <c r="AG62" s="112">
        <v>0</v>
      </c>
      <c r="AH62" s="81">
        <v>0</v>
      </c>
      <c r="AI62" s="81">
        <v>0</v>
      </c>
      <c r="AJ62" s="110">
        <v>0</v>
      </c>
      <c r="AK62" s="110">
        <v>0</v>
      </c>
      <c r="AL62" s="78">
        <v>0</v>
      </c>
      <c r="AM62" s="78">
        <v>0</v>
      </c>
      <c r="AN62" s="110">
        <v>0</v>
      </c>
      <c r="AO62" s="114">
        <v>0</v>
      </c>
      <c r="AP62" s="78">
        <v>0</v>
      </c>
      <c r="AQ62" s="78">
        <v>0</v>
      </c>
      <c r="AR62" s="110">
        <v>0</v>
      </c>
      <c r="AS62" s="110">
        <v>400</v>
      </c>
      <c r="AT62" s="78">
        <v>0</v>
      </c>
      <c r="AU62" s="78">
        <v>0</v>
      </c>
      <c r="AV62" s="110">
        <v>0</v>
      </c>
      <c r="AW62" s="110">
        <v>0</v>
      </c>
      <c r="AX62" s="74">
        <f t="shared" si="17"/>
        <v>900</v>
      </c>
      <c r="AY62" s="74"/>
      <c r="AZ62" s="74">
        <v>600</v>
      </c>
      <c r="BA62" s="74"/>
      <c r="BB62" s="82">
        <f t="shared" si="13"/>
        <v>57748</v>
      </c>
      <c r="BD62" s="122">
        <f t="shared" si="14"/>
        <v>500</v>
      </c>
      <c r="BE62" s="122">
        <f t="shared" si="15"/>
        <v>400</v>
      </c>
      <c r="BL62" s="74"/>
      <c r="BM62" s="74">
        <v>900</v>
      </c>
      <c r="BN62" s="74">
        <f t="shared" si="16"/>
        <v>916.02</v>
      </c>
      <c r="BO62" s="141">
        <v>1.78E-2</v>
      </c>
      <c r="BQ62" s="26"/>
    </row>
    <row r="63" spans="1:71" x14ac:dyDescent="0.25">
      <c r="A63" s="6">
        <v>50915</v>
      </c>
      <c r="B63" s="35" t="s">
        <v>101</v>
      </c>
      <c r="C63" s="74">
        <v>6900</v>
      </c>
      <c r="D63" s="74">
        <v>0</v>
      </c>
      <c r="E63" s="74">
        <v>4200</v>
      </c>
      <c r="F63" s="74">
        <v>6310</v>
      </c>
      <c r="G63" s="74">
        <v>5050</v>
      </c>
      <c r="H63" s="74">
        <v>7300</v>
      </c>
      <c r="I63" s="74">
        <v>0</v>
      </c>
      <c r="J63" s="74">
        <v>925</v>
      </c>
      <c r="K63" s="74">
        <v>1000</v>
      </c>
      <c r="L63" s="74">
        <f t="shared" si="11"/>
        <v>31685</v>
      </c>
      <c r="M63" s="74"/>
      <c r="N63" s="78">
        <v>0</v>
      </c>
      <c r="O63" s="78">
        <v>0</v>
      </c>
      <c r="P63" s="74">
        <v>0</v>
      </c>
      <c r="Q63" s="74">
        <v>0</v>
      </c>
      <c r="R63" s="78">
        <v>0</v>
      </c>
      <c r="S63" s="78">
        <v>0</v>
      </c>
      <c r="T63" s="74">
        <v>0</v>
      </c>
      <c r="U63" s="74">
        <v>0</v>
      </c>
      <c r="V63" s="78">
        <v>0</v>
      </c>
      <c r="W63" s="78">
        <v>0</v>
      </c>
      <c r="X63" s="110">
        <v>0</v>
      </c>
      <c r="Y63" s="110">
        <v>500</v>
      </c>
      <c r="Z63" s="78">
        <v>4800</v>
      </c>
      <c r="AA63" s="79">
        <v>0</v>
      </c>
      <c r="AB63" s="110">
        <v>0</v>
      </c>
      <c r="AC63" s="110">
        <v>0</v>
      </c>
      <c r="AD63" s="80">
        <v>0</v>
      </c>
      <c r="AE63" s="80">
        <v>0</v>
      </c>
      <c r="AF63" s="78">
        <v>0</v>
      </c>
      <c r="AG63" s="112">
        <v>0</v>
      </c>
      <c r="AH63" s="81">
        <v>0</v>
      </c>
      <c r="AI63" s="81">
        <v>0</v>
      </c>
      <c r="AJ63" s="110">
        <v>0</v>
      </c>
      <c r="AK63" s="110">
        <v>0</v>
      </c>
      <c r="AL63" s="78">
        <v>0</v>
      </c>
      <c r="AM63" s="78">
        <v>0</v>
      </c>
      <c r="AN63" s="110">
        <v>0</v>
      </c>
      <c r="AO63" s="114">
        <v>0</v>
      </c>
      <c r="AP63" s="78">
        <v>0</v>
      </c>
      <c r="AQ63" s="78">
        <v>0</v>
      </c>
      <c r="AR63" s="110">
        <v>0</v>
      </c>
      <c r="AS63" s="110">
        <v>0</v>
      </c>
      <c r="AT63" s="78">
        <v>0</v>
      </c>
      <c r="AU63" s="78">
        <v>0</v>
      </c>
      <c r="AV63" s="110">
        <v>0</v>
      </c>
      <c r="AW63" s="110">
        <v>0</v>
      </c>
      <c r="AX63" s="74">
        <f t="shared" si="17"/>
        <v>5300</v>
      </c>
      <c r="AY63" s="74"/>
      <c r="AZ63" s="74">
        <v>2500</v>
      </c>
      <c r="BA63" s="74"/>
      <c r="BB63" s="82">
        <f t="shared" si="13"/>
        <v>39485</v>
      </c>
      <c r="BD63" s="122">
        <f t="shared" si="14"/>
        <v>4800</v>
      </c>
      <c r="BE63" s="122">
        <f t="shared" si="15"/>
        <v>500</v>
      </c>
      <c r="BL63" s="74"/>
      <c r="BM63" s="74">
        <v>5300</v>
      </c>
      <c r="BN63" s="74">
        <f t="shared" si="16"/>
        <v>5394.34</v>
      </c>
      <c r="BO63" s="141">
        <v>1.78E-2</v>
      </c>
      <c r="BQ63" s="26"/>
    </row>
    <row r="64" spans="1:71" x14ac:dyDescent="0.25">
      <c r="A64" s="6">
        <v>50920</v>
      </c>
      <c r="B64" s="35" t="s">
        <v>102</v>
      </c>
      <c r="C64" s="74">
        <v>11700</v>
      </c>
      <c r="D64" s="74">
        <v>0</v>
      </c>
      <c r="E64" s="74">
        <v>16300</v>
      </c>
      <c r="F64" s="74">
        <v>7808</v>
      </c>
      <c r="G64" s="74">
        <v>17050</v>
      </c>
      <c r="H64" s="74">
        <v>3000</v>
      </c>
      <c r="I64" s="74">
        <v>0</v>
      </c>
      <c r="J64" s="74">
        <v>0</v>
      </c>
      <c r="K64" s="74">
        <v>1500</v>
      </c>
      <c r="L64" s="74">
        <f t="shared" si="11"/>
        <v>57358</v>
      </c>
      <c r="M64" s="74"/>
      <c r="N64" s="78">
        <v>0</v>
      </c>
      <c r="O64" s="78">
        <v>0</v>
      </c>
      <c r="P64" s="74">
        <v>0</v>
      </c>
      <c r="Q64" s="74">
        <v>0</v>
      </c>
      <c r="R64" s="78">
        <v>6000</v>
      </c>
      <c r="S64" s="78">
        <v>0</v>
      </c>
      <c r="T64" s="74">
        <v>1500</v>
      </c>
      <c r="U64" s="74">
        <v>0</v>
      </c>
      <c r="V64" s="78">
        <v>0</v>
      </c>
      <c r="W64" s="78">
        <v>0</v>
      </c>
      <c r="X64" s="110">
        <v>0</v>
      </c>
      <c r="Y64" s="110">
        <v>1200</v>
      </c>
      <c r="Z64" s="78">
        <v>4800</v>
      </c>
      <c r="AA64" s="79">
        <v>0</v>
      </c>
      <c r="AB64" s="110">
        <v>0</v>
      </c>
      <c r="AC64" s="110">
        <v>0</v>
      </c>
      <c r="AD64" s="80">
        <v>0</v>
      </c>
      <c r="AE64" s="80">
        <v>0</v>
      </c>
      <c r="AF64" s="78">
        <v>0</v>
      </c>
      <c r="AG64" s="112">
        <v>0</v>
      </c>
      <c r="AH64" s="81">
        <v>0</v>
      </c>
      <c r="AI64" s="81">
        <v>0</v>
      </c>
      <c r="AJ64" s="110">
        <v>0</v>
      </c>
      <c r="AK64" s="110">
        <v>0</v>
      </c>
      <c r="AL64" s="78">
        <v>0</v>
      </c>
      <c r="AM64" s="78">
        <v>0</v>
      </c>
      <c r="AN64" s="110">
        <v>0</v>
      </c>
      <c r="AO64" s="114">
        <v>0</v>
      </c>
      <c r="AP64" s="78">
        <v>0</v>
      </c>
      <c r="AQ64" s="78">
        <v>0</v>
      </c>
      <c r="AR64" s="110">
        <v>0</v>
      </c>
      <c r="AS64" s="110">
        <v>0</v>
      </c>
      <c r="AT64" s="78">
        <v>0</v>
      </c>
      <c r="AU64" s="78">
        <v>1200</v>
      </c>
      <c r="AV64" s="110">
        <v>60</v>
      </c>
      <c r="AW64" s="110">
        <v>3000</v>
      </c>
      <c r="AX64" s="74">
        <f t="shared" si="17"/>
        <v>17760</v>
      </c>
      <c r="AY64" s="74"/>
      <c r="AZ64" s="74">
        <v>3600</v>
      </c>
      <c r="BA64" s="74"/>
      <c r="BB64" s="82">
        <f t="shared" si="13"/>
        <v>78718</v>
      </c>
      <c r="BD64" s="122">
        <f t="shared" si="14"/>
        <v>12360</v>
      </c>
      <c r="BE64" s="122">
        <f t="shared" si="15"/>
        <v>5400</v>
      </c>
      <c r="BL64" s="74"/>
      <c r="BM64" s="74">
        <v>17760</v>
      </c>
      <c r="BN64" s="74">
        <f t="shared" si="16"/>
        <v>18076.128000000001</v>
      </c>
      <c r="BO64" s="141">
        <v>1.78E-2</v>
      </c>
      <c r="BQ64" s="139"/>
      <c r="BR64" s="70"/>
      <c r="BS64" s="70"/>
    </row>
    <row r="65" spans="1:72" x14ac:dyDescent="0.25">
      <c r="A65" s="6">
        <v>50925</v>
      </c>
      <c r="B65" s="35" t="s">
        <v>103</v>
      </c>
      <c r="C65" s="74">
        <v>500</v>
      </c>
      <c r="D65" s="74">
        <v>0</v>
      </c>
      <c r="E65" s="74">
        <v>1000</v>
      </c>
      <c r="F65" s="74">
        <v>1200</v>
      </c>
      <c r="G65" s="74">
        <v>1200</v>
      </c>
      <c r="H65" s="74">
        <v>1000</v>
      </c>
      <c r="I65" s="74">
        <v>0</v>
      </c>
      <c r="J65" s="74">
        <v>1200</v>
      </c>
      <c r="K65" s="74">
        <v>2400</v>
      </c>
      <c r="L65" s="74">
        <f t="shared" si="11"/>
        <v>8500</v>
      </c>
      <c r="M65" s="74"/>
      <c r="N65" s="78">
        <v>0</v>
      </c>
      <c r="O65" s="78">
        <v>0</v>
      </c>
      <c r="P65" s="74">
        <v>0</v>
      </c>
      <c r="Q65" s="74">
        <v>0</v>
      </c>
      <c r="R65" s="78">
        <v>0</v>
      </c>
      <c r="S65" s="78">
        <v>0</v>
      </c>
      <c r="T65" s="74">
        <v>0</v>
      </c>
      <c r="U65" s="74">
        <v>0</v>
      </c>
      <c r="V65" s="78">
        <v>0</v>
      </c>
      <c r="W65" s="78">
        <v>0</v>
      </c>
      <c r="X65" s="110">
        <v>0</v>
      </c>
      <c r="Y65" s="110">
        <v>0</v>
      </c>
      <c r="Z65" s="78">
        <v>600</v>
      </c>
      <c r="AA65" s="79">
        <v>0</v>
      </c>
      <c r="AB65" s="110">
        <v>0</v>
      </c>
      <c r="AC65" s="110">
        <v>0</v>
      </c>
      <c r="AD65" s="80">
        <v>0</v>
      </c>
      <c r="AE65" s="80">
        <v>0</v>
      </c>
      <c r="AF65" s="78">
        <v>0</v>
      </c>
      <c r="AG65" s="112">
        <v>0</v>
      </c>
      <c r="AH65" s="81">
        <v>0</v>
      </c>
      <c r="AI65" s="81">
        <v>0</v>
      </c>
      <c r="AJ65" s="110">
        <v>0</v>
      </c>
      <c r="AK65" s="110">
        <v>0</v>
      </c>
      <c r="AL65" s="78">
        <v>0</v>
      </c>
      <c r="AM65" s="78">
        <v>0</v>
      </c>
      <c r="AN65" s="110">
        <v>0</v>
      </c>
      <c r="AO65" s="114">
        <v>0</v>
      </c>
      <c r="AP65" s="78">
        <v>0</v>
      </c>
      <c r="AQ65" s="78">
        <v>0</v>
      </c>
      <c r="AR65" s="110">
        <v>0</v>
      </c>
      <c r="AS65" s="110">
        <v>0</v>
      </c>
      <c r="AT65" s="78">
        <v>0</v>
      </c>
      <c r="AU65" s="78">
        <v>0</v>
      </c>
      <c r="AV65" s="110">
        <v>0</v>
      </c>
      <c r="AW65" s="110">
        <v>0</v>
      </c>
      <c r="AX65" s="74">
        <f t="shared" si="17"/>
        <v>600</v>
      </c>
      <c r="AY65" s="74"/>
      <c r="AZ65" s="74">
        <v>1000</v>
      </c>
      <c r="BA65" s="74"/>
      <c r="BB65" s="82">
        <f t="shared" si="13"/>
        <v>10100</v>
      </c>
      <c r="BD65" s="122">
        <f t="shared" si="14"/>
        <v>600</v>
      </c>
      <c r="BE65" s="122">
        <f t="shared" si="15"/>
        <v>0</v>
      </c>
      <c r="BL65" s="74"/>
      <c r="BM65" s="74">
        <v>600</v>
      </c>
      <c r="BN65" s="74">
        <f t="shared" si="16"/>
        <v>610.68000000000006</v>
      </c>
      <c r="BO65" s="141">
        <v>1.78E-2</v>
      </c>
      <c r="BQ65" s="139"/>
      <c r="BR65" s="73"/>
      <c r="BS65" s="70"/>
    </row>
    <row r="66" spans="1:72" x14ac:dyDescent="0.25">
      <c r="A66" s="6">
        <v>50930</v>
      </c>
      <c r="B66" s="35" t="s">
        <v>104</v>
      </c>
      <c r="C66" s="74">
        <v>3600</v>
      </c>
      <c r="D66" s="74">
        <v>1750</v>
      </c>
      <c r="E66" s="74">
        <v>9600</v>
      </c>
      <c r="F66" s="74">
        <v>3600</v>
      </c>
      <c r="G66" s="74">
        <v>1000</v>
      </c>
      <c r="H66" s="74">
        <v>1750</v>
      </c>
      <c r="I66" s="74">
        <v>0</v>
      </c>
      <c r="J66" s="74">
        <v>400</v>
      </c>
      <c r="K66" s="74">
        <v>300</v>
      </c>
      <c r="L66" s="74">
        <f t="shared" si="11"/>
        <v>22000</v>
      </c>
      <c r="M66" s="74"/>
      <c r="N66" s="78">
        <v>0</v>
      </c>
      <c r="O66" s="78">
        <v>0</v>
      </c>
      <c r="P66" s="74">
        <v>0</v>
      </c>
      <c r="Q66" s="74">
        <v>0</v>
      </c>
      <c r="R66" s="78">
        <v>0</v>
      </c>
      <c r="S66" s="78">
        <v>0</v>
      </c>
      <c r="T66" s="74">
        <v>0</v>
      </c>
      <c r="U66" s="74">
        <v>0</v>
      </c>
      <c r="V66" s="78">
        <v>0</v>
      </c>
      <c r="W66" s="78">
        <v>0</v>
      </c>
      <c r="X66" s="110">
        <v>0</v>
      </c>
      <c r="Y66" s="110">
        <f>7200+1735</f>
        <v>8935</v>
      </c>
      <c r="Z66" s="78">
        <v>300</v>
      </c>
      <c r="AA66" s="79">
        <v>0</v>
      </c>
      <c r="AB66" s="110">
        <v>0</v>
      </c>
      <c r="AC66" s="110">
        <v>0</v>
      </c>
      <c r="AD66" s="80">
        <v>0</v>
      </c>
      <c r="AE66" s="80">
        <v>0</v>
      </c>
      <c r="AF66" s="78">
        <v>0</v>
      </c>
      <c r="AG66" s="112">
        <v>0</v>
      </c>
      <c r="AH66" s="81">
        <v>0</v>
      </c>
      <c r="AI66" s="81">
        <v>0</v>
      </c>
      <c r="AJ66" s="110">
        <v>0</v>
      </c>
      <c r="AK66" s="110">
        <v>0</v>
      </c>
      <c r="AL66" s="78">
        <v>0</v>
      </c>
      <c r="AM66" s="78">
        <v>0</v>
      </c>
      <c r="AN66" s="110">
        <v>0</v>
      </c>
      <c r="AO66" s="114">
        <v>0</v>
      </c>
      <c r="AP66" s="78">
        <v>0</v>
      </c>
      <c r="AQ66" s="78">
        <v>0</v>
      </c>
      <c r="AR66" s="110">
        <v>0</v>
      </c>
      <c r="AS66" s="110">
        <v>300</v>
      </c>
      <c r="AT66" s="78">
        <v>0</v>
      </c>
      <c r="AU66" s="78">
        <v>0</v>
      </c>
      <c r="AV66" s="110">
        <v>0</v>
      </c>
      <c r="AW66" s="110">
        <v>0</v>
      </c>
      <c r="AX66" s="74">
        <f t="shared" si="17"/>
        <v>9535</v>
      </c>
      <c r="AY66" s="74"/>
      <c r="AZ66" s="74">
        <v>400</v>
      </c>
      <c r="BA66" s="74"/>
      <c r="BB66" s="82">
        <f t="shared" si="13"/>
        <v>31935</v>
      </c>
      <c r="BD66" s="122">
        <f t="shared" si="14"/>
        <v>300</v>
      </c>
      <c r="BE66" s="122">
        <f t="shared" si="15"/>
        <v>9235</v>
      </c>
      <c r="BL66" s="74"/>
      <c r="BM66" s="74">
        <v>9535</v>
      </c>
      <c r="BN66" s="74">
        <f t="shared" si="16"/>
        <v>9704.723</v>
      </c>
      <c r="BO66" s="141">
        <v>1.78E-2</v>
      </c>
      <c r="BQ66" s="139"/>
      <c r="BR66" s="70"/>
      <c r="BS66" s="70"/>
    </row>
    <row r="67" spans="1:72" hidden="1" x14ac:dyDescent="0.25">
      <c r="A67" s="6">
        <v>50935</v>
      </c>
      <c r="B67" s="35" t="s">
        <v>105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f t="shared" si="11"/>
        <v>0</v>
      </c>
      <c r="M67" s="74"/>
      <c r="N67" s="78">
        <v>0</v>
      </c>
      <c r="O67" s="78">
        <v>0</v>
      </c>
      <c r="P67" s="74">
        <v>0</v>
      </c>
      <c r="Q67" s="74">
        <v>0</v>
      </c>
      <c r="R67" s="78">
        <v>0</v>
      </c>
      <c r="S67" s="78">
        <v>0</v>
      </c>
      <c r="T67" s="74">
        <v>0</v>
      </c>
      <c r="U67" s="74">
        <v>0</v>
      </c>
      <c r="V67" s="78">
        <v>0</v>
      </c>
      <c r="W67" s="78"/>
      <c r="X67" s="110">
        <v>0</v>
      </c>
      <c r="Y67" s="110">
        <v>0</v>
      </c>
      <c r="Z67" s="78">
        <v>0</v>
      </c>
      <c r="AA67" s="79">
        <v>0</v>
      </c>
      <c r="AB67" s="110">
        <v>0</v>
      </c>
      <c r="AC67" s="110">
        <v>0</v>
      </c>
      <c r="AD67" s="80">
        <v>0</v>
      </c>
      <c r="AE67" s="80">
        <v>0</v>
      </c>
      <c r="AF67" s="78">
        <v>0</v>
      </c>
      <c r="AG67" s="112">
        <v>0</v>
      </c>
      <c r="AH67" s="81">
        <v>0</v>
      </c>
      <c r="AI67" s="81">
        <v>0</v>
      </c>
      <c r="AJ67" s="110">
        <v>0</v>
      </c>
      <c r="AK67" s="110">
        <v>0</v>
      </c>
      <c r="AL67" s="78">
        <v>0</v>
      </c>
      <c r="AM67" s="78">
        <v>0</v>
      </c>
      <c r="AN67" s="110">
        <v>0</v>
      </c>
      <c r="AO67" s="114">
        <v>0</v>
      </c>
      <c r="AP67" s="78">
        <v>0</v>
      </c>
      <c r="AQ67" s="78">
        <v>0</v>
      </c>
      <c r="AR67" s="110">
        <v>0</v>
      </c>
      <c r="AS67" s="110">
        <v>0</v>
      </c>
      <c r="AT67" s="78">
        <v>0</v>
      </c>
      <c r="AU67" s="78">
        <v>0</v>
      </c>
      <c r="AV67" s="110">
        <v>0</v>
      </c>
      <c r="AW67" s="110">
        <v>0</v>
      </c>
      <c r="AX67" s="74">
        <f t="shared" si="17"/>
        <v>0</v>
      </c>
      <c r="AY67" s="74"/>
      <c r="AZ67" s="74">
        <v>0</v>
      </c>
      <c r="BA67" s="74"/>
      <c r="BB67" s="82">
        <f t="shared" si="13"/>
        <v>0</v>
      </c>
      <c r="BD67" s="122">
        <f t="shared" si="14"/>
        <v>0</v>
      </c>
      <c r="BE67" s="122">
        <f t="shared" si="15"/>
        <v>0</v>
      </c>
      <c r="BL67" s="74"/>
      <c r="BM67" s="74">
        <v>0</v>
      </c>
      <c r="BN67" s="74">
        <f t="shared" si="16"/>
        <v>0</v>
      </c>
      <c r="BO67" s="141">
        <v>1.78E-2</v>
      </c>
      <c r="BQ67" s="26"/>
    </row>
    <row r="68" spans="1:72" x14ac:dyDescent="0.25">
      <c r="A68" s="6">
        <v>50940</v>
      </c>
      <c r="B68" s="35" t="s">
        <v>192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8500</v>
      </c>
      <c r="K68" s="74">
        <v>0</v>
      </c>
      <c r="L68" s="74">
        <f t="shared" si="11"/>
        <v>8500</v>
      </c>
      <c r="M68" s="74"/>
      <c r="N68" s="78">
        <v>0</v>
      </c>
      <c r="O68" s="78">
        <v>0</v>
      </c>
      <c r="P68" s="74">
        <v>0</v>
      </c>
      <c r="Q68" s="74">
        <v>0</v>
      </c>
      <c r="R68" s="78">
        <v>0</v>
      </c>
      <c r="S68" s="78">
        <v>0</v>
      </c>
      <c r="T68" s="74">
        <v>0</v>
      </c>
      <c r="U68" s="74">
        <v>0</v>
      </c>
      <c r="V68" s="78">
        <v>0</v>
      </c>
      <c r="W68" s="78">
        <v>0</v>
      </c>
      <c r="X68" s="110">
        <v>0</v>
      </c>
      <c r="Y68" s="110">
        <v>2400</v>
      </c>
      <c r="Z68" s="78">
        <v>0</v>
      </c>
      <c r="AA68" s="79">
        <v>0</v>
      </c>
      <c r="AB68" s="110">
        <v>0</v>
      </c>
      <c r="AC68" s="110">
        <v>0</v>
      </c>
      <c r="AD68" s="80">
        <v>0</v>
      </c>
      <c r="AE68" s="80">
        <v>0</v>
      </c>
      <c r="AF68" s="78">
        <v>0</v>
      </c>
      <c r="AG68" s="112">
        <v>0</v>
      </c>
      <c r="AH68" s="81">
        <v>0</v>
      </c>
      <c r="AI68" s="81">
        <v>0</v>
      </c>
      <c r="AJ68" s="110">
        <v>0</v>
      </c>
      <c r="AK68" s="110">
        <v>0</v>
      </c>
      <c r="AL68" s="78">
        <v>0</v>
      </c>
      <c r="AM68" s="78">
        <v>0</v>
      </c>
      <c r="AN68" s="110">
        <v>0</v>
      </c>
      <c r="AO68" s="114">
        <v>0</v>
      </c>
      <c r="AP68" s="78">
        <v>0</v>
      </c>
      <c r="AQ68" s="78">
        <v>0</v>
      </c>
      <c r="AR68" s="110">
        <v>0</v>
      </c>
      <c r="AS68" s="110">
        <v>0</v>
      </c>
      <c r="AT68" s="78">
        <v>0</v>
      </c>
      <c r="AU68" s="78">
        <v>0</v>
      </c>
      <c r="AV68" s="110">
        <v>0</v>
      </c>
      <c r="AW68" s="110">
        <v>0</v>
      </c>
      <c r="AX68" s="74">
        <f t="shared" si="17"/>
        <v>2400</v>
      </c>
      <c r="AY68" s="74"/>
      <c r="AZ68" s="74">
        <v>0</v>
      </c>
      <c r="BA68" s="74"/>
      <c r="BB68" s="82">
        <f t="shared" si="13"/>
        <v>10900</v>
      </c>
      <c r="BD68" s="122">
        <f t="shared" si="14"/>
        <v>0</v>
      </c>
      <c r="BE68" s="122">
        <f t="shared" si="15"/>
        <v>2400</v>
      </c>
      <c r="BL68" s="74"/>
      <c r="BM68" s="74">
        <v>2400</v>
      </c>
      <c r="BN68" s="74">
        <f t="shared" si="16"/>
        <v>2442.7200000000003</v>
      </c>
      <c r="BO68" s="141">
        <v>1.78E-2</v>
      </c>
      <c r="BQ68" s="26"/>
    </row>
    <row r="69" spans="1:72" x14ac:dyDescent="0.25">
      <c r="A69" s="6">
        <v>50945</v>
      </c>
      <c r="B69" s="35" t="s">
        <v>106</v>
      </c>
      <c r="C69" s="74">
        <v>0</v>
      </c>
      <c r="D69" s="74">
        <v>0</v>
      </c>
      <c r="E69" s="74">
        <v>0</v>
      </c>
      <c r="F69" s="74">
        <v>5863</v>
      </c>
      <c r="G69" s="74">
        <v>1000</v>
      </c>
      <c r="H69" s="74">
        <v>0</v>
      </c>
      <c r="I69" s="74">
        <v>0</v>
      </c>
      <c r="J69" s="74">
        <v>17850</v>
      </c>
      <c r="K69" s="74">
        <v>3000</v>
      </c>
      <c r="L69" s="74">
        <f t="shared" si="11"/>
        <v>27713</v>
      </c>
      <c r="M69" s="74"/>
      <c r="N69" s="78">
        <v>0</v>
      </c>
      <c r="O69" s="78">
        <v>0</v>
      </c>
      <c r="P69" s="74">
        <v>0</v>
      </c>
      <c r="Q69" s="74">
        <v>0</v>
      </c>
      <c r="R69" s="78">
        <v>0</v>
      </c>
      <c r="S69" s="78">
        <v>0</v>
      </c>
      <c r="T69" s="74">
        <v>0</v>
      </c>
      <c r="U69" s="74">
        <v>0</v>
      </c>
      <c r="V69" s="78">
        <v>0</v>
      </c>
      <c r="W69" s="78">
        <v>0</v>
      </c>
      <c r="X69" s="110">
        <v>0</v>
      </c>
      <c r="Y69" s="110">
        <v>6000</v>
      </c>
      <c r="Z69" s="78">
        <v>1440</v>
      </c>
      <c r="AA69" s="79">
        <v>0</v>
      </c>
      <c r="AB69" s="110">
        <v>0</v>
      </c>
      <c r="AC69" s="110">
        <v>0</v>
      </c>
      <c r="AD69" s="80">
        <v>0</v>
      </c>
      <c r="AE69" s="80">
        <v>0</v>
      </c>
      <c r="AF69" s="78">
        <v>0</v>
      </c>
      <c r="AG69" s="112">
        <v>0</v>
      </c>
      <c r="AH69" s="81">
        <v>0</v>
      </c>
      <c r="AI69" s="81">
        <v>0</v>
      </c>
      <c r="AJ69" s="110">
        <v>0</v>
      </c>
      <c r="AK69" s="110">
        <v>0</v>
      </c>
      <c r="AL69" s="78">
        <v>0</v>
      </c>
      <c r="AM69" s="78">
        <v>0</v>
      </c>
      <c r="AN69" s="110">
        <v>0</v>
      </c>
      <c r="AO69" s="114">
        <v>0</v>
      </c>
      <c r="AP69" s="78">
        <v>0</v>
      </c>
      <c r="AQ69" s="78">
        <v>0</v>
      </c>
      <c r="AR69" s="110">
        <v>0</v>
      </c>
      <c r="AS69" s="110">
        <v>3500</v>
      </c>
      <c r="AT69" s="78">
        <v>0</v>
      </c>
      <c r="AU69" s="78">
        <v>15000</v>
      </c>
      <c r="AV69" s="110">
        <v>0</v>
      </c>
      <c r="AW69" s="110">
        <v>12000</v>
      </c>
      <c r="AX69" s="74">
        <f t="shared" si="17"/>
        <v>37940</v>
      </c>
      <c r="AY69" s="74"/>
      <c r="AZ69" s="74">
        <v>1200</v>
      </c>
      <c r="BA69" s="74"/>
      <c r="BB69" s="82">
        <f t="shared" si="13"/>
        <v>66853</v>
      </c>
      <c r="BD69" s="122">
        <f t="shared" si="14"/>
        <v>1440</v>
      </c>
      <c r="BE69" s="122">
        <f t="shared" si="15"/>
        <v>36500</v>
      </c>
      <c r="BL69" s="74"/>
      <c r="BM69" s="74">
        <v>37940</v>
      </c>
      <c r="BN69" s="74">
        <f t="shared" si="16"/>
        <v>38615.332000000002</v>
      </c>
      <c r="BO69" s="141">
        <v>1.78E-2</v>
      </c>
      <c r="BQ69" s="7"/>
      <c r="BR69" s="13"/>
    </row>
    <row r="70" spans="1:72" x14ac:dyDescent="0.25">
      <c r="A70" s="6">
        <v>51010</v>
      </c>
      <c r="B70" s="35" t="s">
        <v>107</v>
      </c>
      <c r="C70" s="74">
        <v>0</v>
      </c>
      <c r="D70" s="74">
        <v>127800</v>
      </c>
      <c r="E70" s="74">
        <v>0</v>
      </c>
      <c r="F70" s="74">
        <v>0</v>
      </c>
      <c r="G70" s="74">
        <v>0</v>
      </c>
      <c r="H70" s="74">
        <v>3600</v>
      </c>
      <c r="I70" s="74">
        <v>0</v>
      </c>
      <c r="J70" s="74">
        <v>0</v>
      </c>
      <c r="K70" s="74">
        <v>0</v>
      </c>
      <c r="L70" s="74">
        <f t="shared" si="11"/>
        <v>131400</v>
      </c>
      <c r="M70" s="74"/>
      <c r="N70" s="78">
        <v>0</v>
      </c>
      <c r="O70" s="78">
        <v>0</v>
      </c>
      <c r="P70" s="74">
        <v>0</v>
      </c>
      <c r="Q70" s="74">
        <v>0</v>
      </c>
      <c r="R70" s="78">
        <v>0</v>
      </c>
      <c r="S70" s="78">
        <v>0</v>
      </c>
      <c r="T70" s="74">
        <v>0</v>
      </c>
      <c r="U70" s="74">
        <v>0</v>
      </c>
      <c r="V70" s="78">
        <v>0</v>
      </c>
      <c r="W70" s="78">
        <v>0</v>
      </c>
      <c r="X70" s="110">
        <v>2472</v>
      </c>
      <c r="Y70" s="110">
        <v>0</v>
      </c>
      <c r="Z70" s="78">
        <v>0</v>
      </c>
      <c r="AA70" s="79">
        <v>0</v>
      </c>
      <c r="AB70" s="110">
        <v>0</v>
      </c>
      <c r="AC70" s="110">
        <v>0</v>
      </c>
      <c r="AD70" s="80">
        <v>0</v>
      </c>
      <c r="AE70" s="80">
        <v>0</v>
      </c>
      <c r="AF70" s="78">
        <v>0</v>
      </c>
      <c r="AG70" s="112">
        <v>0</v>
      </c>
      <c r="AH70" s="81">
        <v>0</v>
      </c>
      <c r="AI70" s="81">
        <v>0</v>
      </c>
      <c r="AJ70" s="110">
        <v>0</v>
      </c>
      <c r="AK70" s="110">
        <v>0</v>
      </c>
      <c r="AL70" s="78">
        <v>0</v>
      </c>
      <c r="AM70" s="78">
        <v>0</v>
      </c>
      <c r="AN70" s="110">
        <v>0</v>
      </c>
      <c r="AO70" s="114">
        <v>0</v>
      </c>
      <c r="AP70" s="78">
        <v>100516</v>
      </c>
      <c r="AQ70" s="78">
        <v>0</v>
      </c>
      <c r="AR70" s="110">
        <v>1680</v>
      </c>
      <c r="AS70" s="110">
        <v>0</v>
      </c>
      <c r="AT70" s="78">
        <v>0</v>
      </c>
      <c r="AU70" s="78">
        <v>0</v>
      </c>
      <c r="AV70" s="110">
        <v>0</v>
      </c>
      <c r="AW70" s="110">
        <v>0</v>
      </c>
      <c r="AX70" s="74">
        <f t="shared" si="17"/>
        <v>104668</v>
      </c>
      <c r="AY70" s="74"/>
      <c r="AZ70" s="74">
        <v>2400</v>
      </c>
      <c r="BA70" s="74"/>
      <c r="BB70" s="82">
        <f t="shared" si="13"/>
        <v>238468</v>
      </c>
      <c r="BD70" s="122">
        <f t="shared" si="14"/>
        <v>104668</v>
      </c>
      <c r="BE70" s="122">
        <f t="shared" si="15"/>
        <v>0</v>
      </c>
      <c r="BL70" s="74"/>
      <c r="BM70" s="74">
        <v>104668</v>
      </c>
      <c r="BN70" s="74">
        <f t="shared" si="16"/>
        <v>106531.0904</v>
      </c>
      <c r="BO70" s="141">
        <v>1.78E-2</v>
      </c>
      <c r="BP70" s="140"/>
      <c r="BQ70" s="7"/>
    </row>
    <row r="71" spans="1:72" x14ac:dyDescent="0.25">
      <c r="A71" s="6">
        <v>51310</v>
      </c>
      <c r="B71" s="35" t="s">
        <v>108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74">
        <f t="shared" si="11"/>
        <v>0</v>
      </c>
      <c r="M71" s="74"/>
      <c r="N71" s="78">
        <v>0</v>
      </c>
      <c r="O71" s="78">
        <v>0</v>
      </c>
      <c r="P71" s="74">
        <v>0</v>
      </c>
      <c r="Q71" s="74">
        <v>0</v>
      </c>
      <c r="R71" s="78">
        <v>0</v>
      </c>
      <c r="S71" s="78">
        <v>0</v>
      </c>
      <c r="T71" s="74">
        <v>0</v>
      </c>
      <c r="U71" s="74">
        <v>0</v>
      </c>
      <c r="V71" s="135">
        <v>0</v>
      </c>
      <c r="W71" s="78">
        <v>0</v>
      </c>
      <c r="X71" s="110">
        <v>275194</v>
      </c>
      <c r="Y71" s="110">
        <v>0</v>
      </c>
      <c r="Z71" s="135">
        <v>0</v>
      </c>
      <c r="AA71" s="79">
        <v>0</v>
      </c>
      <c r="AB71" s="110">
        <v>0</v>
      </c>
      <c r="AC71" s="110">
        <v>0</v>
      </c>
      <c r="AD71" s="80">
        <v>0</v>
      </c>
      <c r="AE71" s="80">
        <v>0</v>
      </c>
      <c r="AF71" s="135">
        <v>0</v>
      </c>
      <c r="AG71" s="137">
        <v>0</v>
      </c>
      <c r="AH71" s="81">
        <v>0</v>
      </c>
      <c r="AI71" s="81">
        <v>0</v>
      </c>
      <c r="AJ71" s="110">
        <v>0</v>
      </c>
      <c r="AK71" s="110">
        <v>0</v>
      </c>
      <c r="AL71" s="135">
        <v>0</v>
      </c>
      <c r="AM71" s="135">
        <v>0</v>
      </c>
      <c r="AN71" s="110">
        <v>0</v>
      </c>
      <c r="AO71" s="114">
        <v>0</v>
      </c>
      <c r="AP71" s="135">
        <v>0</v>
      </c>
      <c r="AQ71" s="135">
        <v>0</v>
      </c>
      <c r="AR71" s="110">
        <v>0</v>
      </c>
      <c r="AS71" s="110">
        <v>0</v>
      </c>
      <c r="AT71" s="135">
        <v>0</v>
      </c>
      <c r="AU71" s="135">
        <v>0</v>
      </c>
      <c r="AV71" s="110">
        <v>0</v>
      </c>
      <c r="AW71" s="110">
        <v>0</v>
      </c>
      <c r="AX71" s="74">
        <f t="shared" si="17"/>
        <v>275194</v>
      </c>
      <c r="AY71" s="74"/>
      <c r="AZ71" s="74">
        <v>430296</v>
      </c>
      <c r="BA71" s="74"/>
      <c r="BB71" s="82">
        <f t="shared" si="13"/>
        <v>705490</v>
      </c>
      <c r="BD71" s="122">
        <f t="shared" si="14"/>
        <v>275194</v>
      </c>
      <c r="BE71" s="122">
        <f t="shared" si="15"/>
        <v>0</v>
      </c>
      <c r="BL71" s="74"/>
      <c r="BM71" s="74">
        <v>275194</v>
      </c>
      <c r="BN71" s="74">
        <f t="shared" si="16"/>
        <v>280092.45319999999</v>
      </c>
      <c r="BO71" s="141">
        <v>1.78E-2</v>
      </c>
      <c r="BQ71" s="7"/>
    </row>
    <row r="72" spans="1:72" x14ac:dyDescent="0.25">
      <c r="A72" s="6">
        <v>51315</v>
      </c>
      <c r="B72" s="35" t="s">
        <v>109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  <c r="L72" s="74">
        <f t="shared" si="11"/>
        <v>0</v>
      </c>
      <c r="M72" s="74"/>
      <c r="N72" s="78">
        <v>0</v>
      </c>
      <c r="O72" s="78">
        <v>0</v>
      </c>
      <c r="P72" s="74">
        <v>0</v>
      </c>
      <c r="Q72" s="74">
        <v>0</v>
      </c>
      <c r="R72" s="78">
        <v>0</v>
      </c>
      <c r="S72" s="78">
        <v>0</v>
      </c>
      <c r="T72" s="74">
        <v>0</v>
      </c>
      <c r="U72" s="74">
        <v>0</v>
      </c>
      <c r="V72" s="135">
        <v>0</v>
      </c>
      <c r="W72" s="78">
        <v>0</v>
      </c>
      <c r="X72" s="110">
        <v>82258</v>
      </c>
      <c r="Y72" s="110">
        <v>0</v>
      </c>
      <c r="Z72" s="135">
        <v>0</v>
      </c>
      <c r="AA72" s="79">
        <v>0</v>
      </c>
      <c r="AB72" s="110">
        <v>0</v>
      </c>
      <c r="AC72" s="110">
        <v>0</v>
      </c>
      <c r="AD72" s="80">
        <v>0</v>
      </c>
      <c r="AE72" s="80">
        <v>0</v>
      </c>
      <c r="AF72" s="135">
        <v>0</v>
      </c>
      <c r="AG72" s="137">
        <v>0</v>
      </c>
      <c r="AH72" s="81">
        <v>0</v>
      </c>
      <c r="AI72" s="81">
        <v>0</v>
      </c>
      <c r="AJ72" s="110">
        <v>0</v>
      </c>
      <c r="AK72" s="110">
        <v>0</v>
      </c>
      <c r="AL72" s="135">
        <v>0</v>
      </c>
      <c r="AM72" s="135">
        <v>0</v>
      </c>
      <c r="AN72" s="110">
        <v>0</v>
      </c>
      <c r="AO72" s="114">
        <v>0</v>
      </c>
      <c r="AP72" s="135">
        <v>0</v>
      </c>
      <c r="AQ72" s="135">
        <v>0</v>
      </c>
      <c r="AR72" s="110">
        <v>0</v>
      </c>
      <c r="AS72" s="110">
        <v>0</v>
      </c>
      <c r="AT72" s="135">
        <v>0</v>
      </c>
      <c r="AU72" s="135">
        <v>0</v>
      </c>
      <c r="AV72" s="110">
        <v>0</v>
      </c>
      <c r="AW72" s="110">
        <v>0</v>
      </c>
      <c r="AX72" s="74">
        <f t="shared" si="17"/>
        <v>82258</v>
      </c>
      <c r="AY72" s="74"/>
      <c r="AZ72" s="74">
        <v>396732</v>
      </c>
      <c r="BA72" s="74"/>
      <c r="BB72" s="82">
        <f t="shared" si="13"/>
        <v>478990</v>
      </c>
      <c r="BD72" s="122">
        <f t="shared" si="14"/>
        <v>82258</v>
      </c>
      <c r="BE72" s="122">
        <f t="shared" si="15"/>
        <v>0</v>
      </c>
      <c r="BL72" s="74"/>
      <c r="BM72" s="74">
        <v>82258</v>
      </c>
      <c r="BN72" s="74">
        <f t="shared" si="16"/>
        <v>83722.1924</v>
      </c>
      <c r="BO72" s="141">
        <v>1.78E-2</v>
      </c>
      <c r="BQ72" s="26"/>
    </row>
    <row r="73" spans="1:72" x14ac:dyDescent="0.25">
      <c r="A73" s="6">
        <v>51320</v>
      </c>
      <c r="B73" s="35" t="s">
        <v>110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4">
        <v>0</v>
      </c>
      <c r="L73" s="74">
        <f t="shared" si="11"/>
        <v>0</v>
      </c>
      <c r="M73" s="74"/>
      <c r="N73" s="78">
        <v>0</v>
      </c>
      <c r="O73" s="78">
        <v>0</v>
      </c>
      <c r="P73" s="74">
        <v>0</v>
      </c>
      <c r="Q73" s="74">
        <v>0</v>
      </c>
      <c r="R73" s="78">
        <v>0</v>
      </c>
      <c r="S73" s="78">
        <v>0</v>
      </c>
      <c r="T73" s="74">
        <v>0</v>
      </c>
      <c r="U73" s="74">
        <v>0</v>
      </c>
      <c r="V73" s="135">
        <v>0</v>
      </c>
      <c r="W73" s="78">
        <v>0</v>
      </c>
      <c r="X73" s="110">
        <v>0</v>
      </c>
      <c r="Y73" s="110">
        <v>0</v>
      </c>
      <c r="Z73" s="135">
        <v>0</v>
      </c>
      <c r="AA73" s="79">
        <v>0</v>
      </c>
      <c r="AB73" s="110">
        <v>0</v>
      </c>
      <c r="AC73" s="110">
        <v>0</v>
      </c>
      <c r="AD73" s="80">
        <v>0</v>
      </c>
      <c r="AE73" s="80">
        <v>0</v>
      </c>
      <c r="AF73" s="135">
        <v>0</v>
      </c>
      <c r="AG73" s="137">
        <v>0</v>
      </c>
      <c r="AH73" s="81">
        <v>0</v>
      </c>
      <c r="AI73" s="81">
        <v>0</v>
      </c>
      <c r="AJ73" s="110">
        <v>0</v>
      </c>
      <c r="AK73" s="110">
        <v>0</v>
      </c>
      <c r="AL73" s="135">
        <v>0</v>
      </c>
      <c r="AM73" s="135">
        <v>0</v>
      </c>
      <c r="AN73" s="110">
        <v>0</v>
      </c>
      <c r="AO73" s="114">
        <v>0</v>
      </c>
      <c r="AP73" s="135">
        <v>0</v>
      </c>
      <c r="AQ73" s="135">
        <v>0</v>
      </c>
      <c r="AR73" s="110">
        <v>0</v>
      </c>
      <c r="AS73" s="110">
        <v>0</v>
      </c>
      <c r="AT73" s="135">
        <v>0</v>
      </c>
      <c r="AU73" s="135">
        <v>0</v>
      </c>
      <c r="AV73" s="110">
        <v>0</v>
      </c>
      <c r="AW73" s="110">
        <v>0</v>
      </c>
      <c r="AX73" s="74">
        <f t="shared" si="17"/>
        <v>0</v>
      </c>
      <c r="AY73" s="74"/>
      <c r="AZ73" s="74">
        <v>0</v>
      </c>
      <c r="BA73" s="74"/>
      <c r="BB73" s="82">
        <f t="shared" si="13"/>
        <v>0</v>
      </c>
      <c r="BD73" s="122">
        <f t="shared" si="14"/>
        <v>0</v>
      </c>
      <c r="BE73" s="122">
        <f t="shared" si="15"/>
        <v>0</v>
      </c>
      <c r="BL73" s="74"/>
      <c r="BM73" s="74">
        <v>0</v>
      </c>
      <c r="BN73" s="74">
        <f t="shared" si="16"/>
        <v>0</v>
      </c>
      <c r="BO73" s="141">
        <v>1.78E-2</v>
      </c>
      <c r="BQ73" s="8"/>
    </row>
    <row r="74" spans="1:72" x14ac:dyDescent="0.25">
      <c r="A74" s="6">
        <v>51325</v>
      </c>
      <c r="B74" s="35" t="s">
        <v>111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f t="shared" si="11"/>
        <v>0</v>
      </c>
      <c r="M74" s="74"/>
      <c r="N74" s="78">
        <v>0</v>
      </c>
      <c r="O74" s="78">
        <v>0</v>
      </c>
      <c r="P74" s="74">
        <v>0</v>
      </c>
      <c r="Q74" s="74">
        <v>0</v>
      </c>
      <c r="R74" s="78">
        <v>0</v>
      </c>
      <c r="S74" s="78">
        <v>0</v>
      </c>
      <c r="T74" s="74">
        <v>0</v>
      </c>
      <c r="U74" s="74">
        <v>0</v>
      </c>
      <c r="V74" s="135">
        <v>0</v>
      </c>
      <c r="W74" s="78">
        <v>0</v>
      </c>
      <c r="X74" s="110">
        <v>153104</v>
      </c>
      <c r="Y74" s="110">
        <v>0</v>
      </c>
      <c r="Z74" s="135">
        <v>0</v>
      </c>
      <c r="AA74" s="79">
        <v>0</v>
      </c>
      <c r="AB74" s="110">
        <v>0</v>
      </c>
      <c r="AC74" s="110">
        <v>0</v>
      </c>
      <c r="AD74" s="80">
        <v>0</v>
      </c>
      <c r="AE74" s="80">
        <v>0</v>
      </c>
      <c r="AF74" s="135">
        <v>0</v>
      </c>
      <c r="AG74" s="137">
        <v>0</v>
      </c>
      <c r="AH74" s="81">
        <v>0</v>
      </c>
      <c r="AI74" s="81">
        <v>0</v>
      </c>
      <c r="AJ74" s="110">
        <v>0</v>
      </c>
      <c r="AK74" s="110">
        <v>0</v>
      </c>
      <c r="AL74" s="135">
        <v>0</v>
      </c>
      <c r="AM74" s="135">
        <v>0</v>
      </c>
      <c r="AN74" s="110">
        <v>0</v>
      </c>
      <c r="AO74" s="114">
        <v>0</v>
      </c>
      <c r="AP74" s="135">
        <v>0</v>
      </c>
      <c r="AQ74" s="135">
        <v>0</v>
      </c>
      <c r="AR74" s="110">
        <v>0</v>
      </c>
      <c r="AS74" s="110">
        <v>0</v>
      </c>
      <c r="AT74" s="135">
        <v>0</v>
      </c>
      <c r="AU74" s="135">
        <v>0</v>
      </c>
      <c r="AV74" s="110">
        <v>0</v>
      </c>
      <c r="AW74" s="110">
        <v>0</v>
      </c>
      <c r="AX74" s="74">
        <f t="shared" si="17"/>
        <v>153104</v>
      </c>
      <c r="AY74" s="74"/>
      <c r="AZ74" s="74">
        <v>140766</v>
      </c>
      <c r="BA74" s="74"/>
      <c r="BB74" s="82">
        <f t="shared" si="13"/>
        <v>293870</v>
      </c>
      <c r="BD74" s="122">
        <f t="shared" si="14"/>
        <v>153104</v>
      </c>
      <c r="BE74" s="122">
        <f t="shared" si="15"/>
        <v>0</v>
      </c>
      <c r="BL74" s="74"/>
      <c r="BM74" s="74">
        <v>153104</v>
      </c>
      <c r="BN74" s="74">
        <f t="shared" si="16"/>
        <v>155829.2512</v>
      </c>
      <c r="BO74" s="141">
        <v>1.78E-2</v>
      </c>
      <c r="BP74" s="156"/>
      <c r="BQ74" s="37"/>
      <c r="BT74" s="38"/>
    </row>
    <row r="75" spans="1:72" x14ac:dyDescent="0.25">
      <c r="A75" s="6">
        <v>51326</v>
      </c>
      <c r="B75" s="35" t="s">
        <v>112</v>
      </c>
      <c r="C75" s="74">
        <v>0</v>
      </c>
      <c r="D75" s="74">
        <v>70000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f t="shared" si="11"/>
        <v>70000</v>
      </c>
      <c r="M75" s="74"/>
      <c r="N75" s="78">
        <v>0</v>
      </c>
      <c r="O75" s="78">
        <v>0</v>
      </c>
      <c r="P75" s="74">
        <v>0</v>
      </c>
      <c r="Q75" s="74">
        <v>0</v>
      </c>
      <c r="R75" s="78">
        <v>0</v>
      </c>
      <c r="S75" s="78">
        <v>0</v>
      </c>
      <c r="T75" s="74">
        <v>0</v>
      </c>
      <c r="U75" s="74">
        <v>0</v>
      </c>
      <c r="V75" s="135">
        <v>0</v>
      </c>
      <c r="W75" s="78">
        <v>0</v>
      </c>
      <c r="X75" s="110">
        <v>33591</v>
      </c>
      <c r="Y75" s="110">
        <v>0</v>
      </c>
      <c r="Z75" s="135">
        <v>0</v>
      </c>
      <c r="AA75" s="79">
        <v>0</v>
      </c>
      <c r="AB75" s="110">
        <v>0</v>
      </c>
      <c r="AC75" s="110">
        <v>0</v>
      </c>
      <c r="AD75" s="80">
        <v>0</v>
      </c>
      <c r="AE75" s="80">
        <v>0</v>
      </c>
      <c r="AF75" s="135">
        <v>0</v>
      </c>
      <c r="AG75" s="137">
        <v>0</v>
      </c>
      <c r="AH75" s="81">
        <v>0</v>
      </c>
      <c r="AI75" s="81">
        <v>0</v>
      </c>
      <c r="AJ75" s="110">
        <v>0</v>
      </c>
      <c r="AK75" s="110">
        <v>0</v>
      </c>
      <c r="AL75" s="135">
        <v>0</v>
      </c>
      <c r="AM75" s="135">
        <v>0</v>
      </c>
      <c r="AN75" s="110">
        <v>0</v>
      </c>
      <c r="AO75" s="114">
        <v>0</v>
      </c>
      <c r="AP75" s="135">
        <v>0</v>
      </c>
      <c r="AQ75" s="135">
        <v>0</v>
      </c>
      <c r="AR75" s="110">
        <v>0</v>
      </c>
      <c r="AS75" s="110">
        <v>0</v>
      </c>
      <c r="AT75" s="135">
        <v>0</v>
      </c>
      <c r="AU75" s="135">
        <v>0</v>
      </c>
      <c r="AV75" s="110">
        <v>0</v>
      </c>
      <c r="AW75" s="110">
        <v>0</v>
      </c>
      <c r="AX75" s="74">
        <f t="shared" si="17"/>
        <v>33591</v>
      </c>
      <c r="AY75" s="74"/>
      <c r="AZ75" s="74">
        <v>46000</v>
      </c>
      <c r="BA75" s="74"/>
      <c r="BB75" s="82">
        <f t="shared" si="13"/>
        <v>149591</v>
      </c>
      <c r="BD75" s="122">
        <f t="shared" si="14"/>
        <v>33591</v>
      </c>
      <c r="BE75" s="122">
        <f t="shared" si="15"/>
        <v>0</v>
      </c>
      <c r="BL75" s="74"/>
      <c r="BM75" s="74">
        <v>33591</v>
      </c>
      <c r="BN75" s="74">
        <f t="shared" si="16"/>
        <v>34188.919800000003</v>
      </c>
      <c r="BO75" s="141">
        <v>1.78E-2</v>
      </c>
      <c r="BQ75" s="8"/>
      <c r="BT75" s="38"/>
    </row>
    <row r="76" spans="1:72" x14ac:dyDescent="0.25">
      <c r="A76" s="6">
        <v>51330</v>
      </c>
      <c r="B76" s="35" t="s">
        <v>113</v>
      </c>
      <c r="C76" s="74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f t="shared" si="11"/>
        <v>0</v>
      </c>
      <c r="M76" s="74"/>
      <c r="N76" s="78">
        <v>0</v>
      </c>
      <c r="O76" s="78">
        <v>0</v>
      </c>
      <c r="P76" s="74">
        <v>0</v>
      </c>
      <c r="Q76" s="74">
        <v>0</v>
      </c>
      <c r="R76" s="78">
        <v>0</v>
      </c>
      <c r="S76" s="78">
        <v>0</v>
      </c>
      <c r="T76" s="74">
        <v>0</v>
      </c>
      <c r="U76" s="74">
        <v>0</v>
      </c>
      <c r="V76" s="135">
        <v>0</v>
      </c>
      <c r="W76" s="78">
        <v>0</v>
      </c>
      <c r="X76" s="110">
        <v>837922</v>
      </c>
      <c r="Y76" s="110">
        <v>0</v>
      </c>
      <c r="Z76" s="135">
        <v>0</v>
      </c>
      <c r="AA76" s="79">
        <v>0</v>
      </c>
      <c r="AB76" s="110">
        <v>0</v>
      </c>
      <c r="AC76" s="110">
        <v>0</v>
      </c>
      <c r="AD76" s="80">
        <v>0</v>
      </c>
      <c r="AE76" s="80">
        <v>0</v>
      </c>
      <c r="AF76" s="135">
        <v>0</v>
      </c>
      <c r="AG76" s="137">
        <v>0</v>
      </c>
      <c r="AH76" s="81">
        <v>0</v>
      </c>
      <c r="AI76" s="81">
        <v>0</v>
      </c>
      <c r="AJ76" s="110">
        <v>0</v>
      </c>
      <c r="AK76" s="110">
        <v>0</v>
      </c>
      <c r="AL76" s="135">
        <v>0</v>
      </c>
      <c r="AM76" s="135">
        <v>0</v>
      </c>
      <c r="AN76" s="110">
        <v>0</v>
      </c>
      <c r="AO76" s="114">
        <v>0</v>
      </c>
      <c r="AP76" s="135">
        <v>0</v>
      </c>
      <c r="AQ76" s="135">
        <v>0</v>
      </c>
      <c r="AR76" s="110">
        <v>0</v>
      </c>
      <c r="AS76" s="110">
        <v>0</v>
      </c>
      <c r="AT76" s="135">
        <v>0</v>
      </c>
      <c r="AU76" s="135">
        <v>0</v>
      </c>
      <c r="AV76" s="110">
        <v>0</v>
      </c>
      <c r="AW76" s="110">
        <v>0</v>
      </c>
      <c r="AX76" s="74">
        <f t="shared" si="17"/>
        <v>837922</v>
      </c>
      <c r="AY76" s="74"/>
      <c r="AZ76" s="74">
        <v>0</v>
      </c>
      <c r="BA76" s="74"/>
      <c r="BB76" s="82">
        <f t="shared" si="13"/>
        <v>837922</v>
      </c>
      <c r="BD76" s="122">
        <f t="shared" si="14"/>
        <v>837922</v>
      </c>
      <c r="BE76" s="122">
        <f t="shared" si="15"/>
        <v>0</v>
      </c>
      <c r="BL76" s="74"/>
      <c r="BM76" s="74">
        <v>837922</v>
      </c>
      <c r="BN76" s="74">
        <f t="shared" si="16"/>
        <v>852837.01160000009</v>
      </c>
      <c r="BO76" s="141">
        <v>1.78E-2</v>
      </c>
      <c r="BP76" s="156"/>
      <c r="BQ76" s="37"/>
      <c r="BT76" s="38"/>
    </row>
    <row r="77" spans="1:72" x14ac:dyDescent="0.25">
      <c r="A77" s="6">
        <v>51335</v>
      </c>
      <c r="B77" s="35" t="s">
        <v>114</v>
      </c>
      <c r="C77" s="74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f t="shared" si="11"/>
        <v>0</v>
      </c>
      <c r="M77" s="74"/>
      <c r="N77" s="78">
        <v>0</v>
      </c>
      <c r="O77" s="78">
        <v>0</v>
      </c>
      <c r="P77" s="74">
        <v>0</v>
      </c>
      <c r="Q77" s="74">
        <v>0</v>
      </c>
      <c r="R77" s="78">
        <v>0</v>
      </c>
      <c r="S77" s="78">
        <v>0</v>
      </c>
      <c r="T77" s="74">
        <v>0</v>
      </c>
      <c r="U77" s="74">
        <v>0</v>
      </c>
      <c r="V77" s="135">
        <v>0</v>
      </c>
      <c r="W77" s="78">
        <v>0</v>
      </c>
      <c r="X77" s="110">
        <v>0</v>
      </c>
      <c r="Y77" s="110">
        <v>0</v>
      </c>
      <c r="Z77" s="135">
        <v>0</v>
      </c>
      <c r="AA77" s="79">
        <v>0</v>
      </c>
      <c r="AB77" s="110">
        <v>0</v>
      </c>
      <c r="AC77" s="110">
        <v>0</v>
      </c>
      <c r="AD77" s="80">
        <v>0</v>
      </c>
      <c r="AE77" s="80">
        <v>0</v>
      </c>
      <c r="AF77" s="135">
        <v>0</v>
      </c>
      <c r="AG77" s="137">
        <v>0</v>
      </c>
      <c r="AH77" s="81">
        <v>0</v>
      </c>
      <c r="AI77" s="81">
        <v>0</v>
      </c>
      <c r="AJ77" s="110">
        <v>0</v>
      </c>
      <c r="AK77" s="110">
        <v>0</v>
      </c>
      <c r="AL77" s="135">
        <v>0</v>
      </c>
      <c r="AM77" s="135">
        <v>0</v>
      </c>
      <c r="AN77" s="110">
        <v>0</v>
      </c>
      <c r="AO77" s="114">
        <v>0</v>
      </c>
      <c r="AP77" s="135">
        <v>0</v>
      </c>
      <c r="AQ77" s="135">
        <v>0</v>
      </c>
      <c r="AR77" s="110">
        <v>0</v>
      </c>
      <c r="AS77" s="110">
        <v>0</v>
      </c>
      <c r="AT77" s="135">
        <v>0</v>
      </c>
      <c r="AU77" s="135">
        <v>0</v>
      </c>
      <c r="AV77" s="110">
        <v>0</v>
      </c>
      <c r="AW77" s="110">
        <v>0</v>
      </c>
      <c r="AX77" s="74">
        <f t="shared" si="17"/>
        <v>0</v>
      </c>
      <c r="AY77" s="74"/>
      <c r="AZ77" s="74">
        <v>7173654</v>
      </c>
      <c r="BA77" s="74"/>
      <c r="BB77" s="82">
        <f t="shared" si="13"/>
        <v>7173654</v>
      </c>
      <c r="BD77" s="122">
        <f t="shared" si="14"/>
        <v>0</v>
      </c>
      <c r="BE77" s="122">
        <f t="shared" si="15"/>
        <v>0</v>
      </c>
      <c r="BL77" s="74"/>
      <c r="BM77" s="74">
        <v>0</v>
      </c>
      <c r="BN77" s="74">
        <f t="shared" si="16"/>
        <v>0</v>
      </c>
      <c r="BO77" s="141">
        <v>1.78E-2</v>
      </c>
      <c r="BQ77" s="8"/>
      <c r="BT77" s="38"/>
    </row>
    <row r="78" spans="1:72" x14ac:dyDescent="0.25">
      <c r="A78" s="39">
        <v>51340</v>
      </c>
      <c r="B78" s="120" t="s">
        <v>115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74">
        <v>0</v>
      </c>
      <c r="J78" s="83">
        <v>0</v>
      </c>
      <c r="K78" s="83">
        <v>0</v>
      </c>
      <c r="L78" s="74">
        <f t="shared" si="11"/>
        <v>0</v>
      </c>
      <c r="M78" s="74"/>
      <c r="N78" s="84">
        <v>0</v>
      </c>
      <c r="O78" s="78">
        <v>0</v>
      </c>
      <c r="P78" s="74">
        <v>0</v>
      </c>
      <c r="Q78" s="74">
        <v>0</v>
      </c>
      <c r="R78" s="78">
        <v>0</v>
      </c>
      <c r="S78" s="78">
        <v>0</v>
      </c>
      <c r="T78" s="83">
        <v>0</v>
      </c>
      <c r="U78" s="74">
        <v>0</v>
      </c>
      <c r="V78" s="135">
        <v>0</v>
      </c>
      <c r="W78" s="78">
        <v>0</v>
      </c>
      <c r="X78" s="110">
        <v>0</v>
      </c>
      <c r="Y78" s="111">
        <v>0</v>
      </c>
      <c r="Z78" s="135">
        <v>0</v>
      </c>
      <c r="AA78" s="79">
        <v>0</v>
      </c>
      <c r="AB78" s="110">
        <v>0</v>
      </c>
      <c r="AC78" s="110">
        <v>0</v>
      </c>
      <c r="AD78" s="80">
        <v>0</v>
      </c>
      <c r="AE78" s="80">
        <v>0</v>
      </c>
      <c r="AF78" s="135">
        <v>0</v>
      </c>
      <c r="AG78" s="137">
        <v>0</v>
      </c>
      <c r="AH78" s="81">
        <v>0</v>
      </c>
      <c r="AI78" s="81">
        <v>0</v>
      </c>
      <c r="AJ78" s="110">
        <v>0</v>
      </c>
      <c r="AK78" s="110">
        <v>0</v>
      </c>
      <c r="AL78" s="135">
        <v>0</v>
      </c>
      <c r="AM78" s="135">
        <v>0</v>
      </c>
      <c r="AN78" s="110">
        <v>0</v>
      </c>
      <c r="AO78" s="114">
        <v>0</v>
      </c>
      <c r="AP78" s="135">
        <v>0</v>
      </c>
      <c r="AQ78" s="135">
        <v>0</v>
      </c>
      <c r="AR78" s="111">
        <v>0</v>
      </c>
      <c r="AS78" s="110">
        <v>0</v>
      </c>
      <c r="AT78" s="135">
        <v>0</v>
      </c>
      <c r="AU78" s="136">
        <v>0</v>
      </c>
      <c r="AV78" s="111">
        <v>0</v>
      </c>
      <c r="AW78" s="110">
        <v>0</v>
      </c>
      <c r="AX78" s="74">
        <f t="shared" si="17"/>
        <v>0</v>
      </c>
      <c r="AY78" s="74"/>
      <c r="AZ78" s="74">
        <v>849858</v>
      </c>
      <c r="BA78" s="74"/>
      <c r="BB78" s="87">
        <f t="shared" si="13"/>
        <v>849858</v>
      </c>
      <c r="BD78" s="122">
        <f t="shared" si="14"/>
        <v>0</v>
      </c>
      <c r="BE78" s="122">
        <f t="shared" si="15"/>
        <v>0</v>
      </c>
      <c r="BK78" s="6"/>
      <c r="BL78" s="74"/>
      <c r="BM78" s="74">
        <v>0</v>
      </c>
      <c r="BN78" s="74">
        <f t="shared" si="16"/>
        <v>0</v>
      </c>
      <c r="BO78" s="141">
        <v>1.78E-2</v>
      </c>
      <c r="BQ78" s="8"/>
    </row>
    <row r="79" spans="1:72" s="13" customFormat="1" x14ac:dyDescent="0.25">
      <c r="A79" s="159" t="s">
        <v>116</v>
      </c>
      <c r="B79" s="159"/>
      <c r="C79" s="77">
        <f>SUM(C24:C78)</f>
        <v>473540</v>
      </c>
      <c r="D79" s="77">
        <f>SUM(D24:D78)</f>
        <v>299980</v>
      </c>
      <c r="E79" s="77">
        <f>SUM(E24:E78)</f>
        <v>94585</v>
      </c>
      <c r="F79" s="77">
        <f t="shared" ref="F79:AZ79" si="18">SUM(F24:F78)</f>
        <v>467367</v>
      </c>
      <c r="G79" s="77">
        <f t="shared" si="18"/>
        <v>630010</v>
      </c>
      <c r="H79" s="77">
        <f t="shared" si="18"/>
        <v>411875</v>
      </c>
      <c r="I79" s="77">
        <f t="shared" si="18"/>
        <v>41000</v>
      </c>
      <c r="J79" s="77">
        <f t="shared" si="18"/>
        <v>69200</v>
      </c>
      <c r="K79" s="77">
        <f t="shared" si="18"/>
        <v>251900</v>
      </c>
      <c r="L79" s="77">
        <f t="shared" si="18"/>
        <v>2739457</v>
      </c>
      <c r="M79" s="96"/>
      <c r="N79" s="77">
        <f>SUM(N24:N78)</f>
        <v>499532</v>
      </c>
      <c r="O79" s="77">
        <f>SUM(O24:O78)</f>
        <v>39639</v>
      </c>
      <c r="P79" s="77">
        <f>SUM(P24:P78)</f>
        <v>0</v>
      </c>
      <c r="Q79" s="77">
        <f>SUM(Q24:Q78)</f>
        <v>0</v>
      </c>
      <c r="R79" s="77">
        <f t="shared" si="18"/>
        <v>174474</v>
      </c>
      <c r="S79" s="77">
        <f t="shared" si="18"/>
        <v>5116</v>
      </c>
      <c r="T79" s="77">
        <f t="shared" si="18"/>
        <v>34521</v>
      </c>
      <c r="U79" s="77">
        <f t="shared" si="18"/>
        <v>612</v>
      </c>
      <c r="V79" s="77">
        <f t="shared" si="18"/>
        <v>348980</v>
      </c>
      <c r="W79" s="77">
        <f t="shared" si="18"/>
        <v>0</v>
      </c>
      <c r="X79" s="77">
        <f>SUM(X24:X78)</f>
        <v>2310741</v>
      </c>
      <c r="Y79" s="77">
        <f>SUM(Y24:Y78)</f>
        <v>380137</v>
      </c>
      <c r="Z79" s="77">
        <f>SUM(Z24:Z78)</f>
        <v>12440</v>
      </c>
      <c r="AA79" s="77">
        <f t="shared" si="18"/>
        <v>0</v>
      </c>
      <c r="AB79" s="77">
        <f t="shared" si="18"/>
        <v>434062</v>
      </c>
      <c r="AC79" s="77">
        <f t="shared" si="18"/>
        <v>38683</v>
      </c>
      <c r="AD79" s="77">
        <f t="shared" si="18"/>
        <v>0</v>
      </c>
      <c r="AE79" s="77">
        <f>SUM(AE24:AE78)</f>
        <v>0</v>
      </c>
      <c r="AF79" s="77">
        <f t="shared" si="18"/>
        <v>240841</v>
      </c>
      <c r="AG79" s="77">
        <f t="shared" si="18"/>
        <v>22236</v>
      </c>
      <c r="AH79" s="77">
        <f t="shared" si="18"/>
        <v>0</v>
      </c>
      <c r="AI79" s="77">
        <f t="shared" si="18"/>
        <v>0</v>
      </c>
      <c r="AJ79" s="77">
        <f t="shared" si="18"/>
        <v>135024</v>
      </c>
      <c r="AK79" s="77">
        <f t="shared" si="18"/>
        <v>10754</v>
      </c>
      <c r="AL79" s="77">
        <f t="shared" si="18"/>
        <v>41201</v>
      </c>
      <c r="AM79" s="77">
        <f t="shared" si="18"/>
        <v>1227</v>
      </c>
      <c r="AN79" s="77">
        <f t="shared" si="18"/>
        <v>154869</v>
      </c>
      <c r="AO79" s="77">
        <f t="shared" si="18"/>
        <v>10054</v>
      </c>
      <c r="AP79" s="77">
        <f t="shared" si="18"/>
        <v>230463</v>
      </c>
      <c r="AQ79" s="77">
        <f t="shared" si="18"/>
        <v>5907</v>
      </c>
      <c r="AR79" s="77">
        <f t="shared" si="18"/>
        <v>132744</v>
      </c>
      <c r="AS79" s="77">
        <f t="shared" si="18"/>
        <v>4692</v>
      </c>
      <c r="AT79" s="77">
        <f t="shared" si="18"/>
        <v>35580</v>
      </c>
      <c r="AU79" s="77">
        <f t="shared" si="18"/>
        <v>16788</v>
      </c>
      <c r="AV79" s="77">
        <f t="shared" si="18"/>
        <v>1003251</v>
      </c>
      <c r="AW79" s="77">
        <f t="shared" si="18"/>
        <v>40680</v>
      </c>
      <c r="AX79" s="77">
        <f t="shared" si="18"/>
        <v>6365248</v>
      </c>
      <c r="AY79" s="96"/>
      <c r="AZ79" s="77">
        <f t="shared" si="18"/>
        <v>22235204</v>
      </c>
      <c r="BA79" s="96"/>
      <c r="BB79" s="77">
        <f>SUM(BB24:BB78)</f>
        <v>31339909</v>
      </c>
      <c r="BC79" s="29"/>
      <c r="BD79" s="28">
        <f t="shared" ref="BD79:BE79" si="19">SUM(BD24:BD78)</f>
        <v>5788723</v>
      </c>
      <c r="BE79" s="28">
        <f t="shared" si="19"/>
        <v>576525</v>
      </c>
      <c r="BF79" s="29"/>
      <c r="BG79" s="5"/>
      <c r="BH79" s="5"/>
      <c r="BI79" s="5"/>
      <c r="BJ79" s="5"/>
      <c r="BK79" s="6"/>
      <c r="BL79" s="77">
        <f t="shared" ref="BL79:BN79" si="20">SUM(BL24:BL78)</f>
        <v>0</v>
      </c>
      <c r="BM79" s="77">
        <f t="shared" si="20"/>
        <v>6364075</v>
      </c>
      <c r="BN79" s="77">
        <f t="shared" si="20"/>
        <v>6493985.0735504152</v>
      </c>
      <c r="BO79" s="141"/>
      <c r="BP79" s="141"/>
      <c r="BQ79" s="8"/>
      <c r="BR79" s="5"/>
      <c r="BS79" s="5"/>
      <c r="BT79" s="5"/>
    </row>
    <row r="80" spans="1:72" s="38" customFormat="1" x14ac:dyDescent="0.25">
      <c r="A80" s="40"/>
      <c r="B80" s="4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26"/>
      <c r="BD80" s="26"/>
      <c r="BE80" s="26"/>
      <c r="BF80" s="26"/>
      <c r="BG80" s="5"/>
      <c r="BH80" s="5"/>
      <c r="BI80" s="5"/>
      <c r="BJ80" s="5"/>
      <c r="BK80" s="6"/>
      <c r="BL80" s="101"/>
      <c r="BM80" s="101"/>
      <c r="BN80" s="101"/>
      <c r="BO80" s="141"/>
      <c r="BP80" s="141"/>
      <c r="BQ80" s="8"/>
      <c r="BR80" s="5"/>
      <c r="BT80" s="5"/>
    </row>
    <row r="81" spans="1:72" s="13" customFormat="1" x14ac:dyDescent="0.25">
      <c r="A81" s="41"/>
      <c r="B81" s="44" t="s">
        <v>117</v>
      </c>
      <c r="C81" s="75">
        <f t="shared" ref="C81:BB81" si="21">C79+C22</f>
        <v>824012</v>
      </c>
      <c r="D81" s="75">
        <f t="shared" si="21"/>
        <v>438298</v>
      </c>
      <c r="E81" s="75">
        <f t="shared" si="21"/>
        <v>94585</v>
      </c>
      <c r="F81" s="75">
        <f t="shared" si="21"/>
        <v>1750971</v>
      </c>
      <c r="G81" s="75">
        <f t="shared" si="21"/>
        <v>1113199</v>
      </c>
      <c r="H81" s="75">
        <f t="shared" si="21"/>
        <v>759809</v>
      </c>
      <c r="I81" s="75">
        <f t="shared" si="21"/>
        <v>550412</v>
      </c>
      <c r="J81" s="75">
        <f t="shared" si="21"/>
        <v>202367</v>
      </c>
      <c r="K81" s="75">
        <f t="shared" si="21"/>
        <v>537476</v>
      </c>
      <c r="L81" s="75">
        <f t="shared" si="21"/>
        <v>6271129</v>
      </c>
      <c r="M81" s="88"/>
      <c r="N81" s="75">
        <f>N79+N22</f>
        <v>499532</v>
      </c>
      <c r="O81" s="75">
        <f>O79+O22</f>
        <v>1272514</v>
      </c>
      <c r="P81" s="75">
        <f>P79+P22</f>
        <v>0</v>
      </c>
      <c r="Q81" s="75">
        <f>Q79+Q22</f>
        <v>0</v>
      </c>
      <c r="R81" s="75">
        <f t="shared" si="21"/>
        <v>174474</v>
      </c>
      <c r="S81" s="75">
        <f t="shared" si="21"/>
        <v>133460</v>
      </c>
      <c r="T81" s="75">
        <f t="shared" si="21"/>
        <v>34521</v>
      </c>
      <c r="U81" s="75">
        <f t="shared" si="21"/>
        <v>16046</v>
      </c>
      <c r="V81" s="75">
        <f t="shared" si="21"/>
        <v>348980</v>
      </c>
      <c r="W81" s="75">
        <f t="shared" si="21"/>
        <v>0</v>
      </c>
      <c r="X81" s="75">
        <f>X79+X22</f>
        <v>2310741</v>
      </c>
      <c r="Y81" s="75">
        <f>Y79+Y22</f>
        <v>657727</v>
      </c>
      <c r="Z81" s="75">
        <f>Z79+Z22</f>
        <v>385550</v>
      </c>
      <c r="AA81" s="75">
        <f t="shared" si="21"/>
        <v>0</v>
      </c>
      <c r="AB81" s="75">
        <f t="shared" si="21"/>
        <v>434062</v>
      </c>
      <c r="AC81" s="75">
        <f t="shared" si="21"/>
        <v>1400820</v>
      </c>
      <c r="AD81" s="75">
        <f t="shared" si="21"/>
        <v>0</v>
      </c>
      <c r="AE81" s="75">
        <f t="shared" si="21"/>
        <v>0</v>
      </c>
      <c r="AF81" s="75">
        <f t="shared" si="21"/>
        <v>240841</v>
      </c>
      <c r="AG81" s="75">
        <f t="shared" si="21"/>
        <v>893306</v>
      </c>
      <c r="AH81" s="75">
        <f t="shared" si="21"/>
        <v>0</v>
      </c>
      <c r="AI81" s="75">
        <f t="shared" si="21"/>
        <v>0</v>
      </c>
      <c r="AJ81" s="75">
        <f t="shared" si="21"/>
        <v>135024</v>
      </c>
      <c r="AK81" s="75">
        <f t="shared" si="21"/>
        <v>305120</v>
      </c>
      <c r="AL81" s="75">
        <f t="shared" si="21"/>
        <v>41201</v>
      </c>
      <c r="AM81" s="75">
        <f t="shared" si="21"/>
        <v>34016</v>
      </c>
      <c r="AN81" s="75">
        <f t="shared" si="21"/>
        <v>154869</v>
      </c>
      <c r="AO81" s="75">
        <f t="shared" si="21"/>
        <v>300401</v>
      </c>
      <c r="AP81" s="75">
        <f t="shared" si="21"/>
        <v>230463</v>
      </c>
      <c r="AQ81" s="75">
        <f t="shared" si="21"/>
        <v>137560</v>
      </c>
      <c r="AR81" s="75">
        <f t="shared" si="21"/>
        <v>132744</v>
      </c>
      <c r="AS81" s="75">
        <f t="shared" si="21"/>
        <v>580194</v>
      </c>
      <c r="AT81" s="75">
        <f t="shared" si="21"/>
        <v>35580</v>
      </c>
      <c r="AU81" s="75">
        <f t="shared" si="21"/>
        <v>1023619</v>
      </c>
      <c r="AV81" s="75">
        <f t="shared" si="21"/>
        <v>1003251</v>
      </c>
      <c r="AW81" s="75">
        <f t="shared" si="21"/>
        <v>1273056</v>
      </c>
      <c r="AX81" s="75">
        <f t="shared" si="21"/>
        <v>14189672</v>
      </c>
      <c r="AY81" s="88"/>
      <c r="AZ81" s="75">
        <f t="shared" si="21"/>
        <v>22523633</v>
      </c>
      <c r="BA81" s="88"/>
      <c r="BB81" s="75">
        <f t="shared" si="21"/>
        <v>42984434</v>
      </c>
      <c r="BC81" s="12"/>
      <c r="BD81" s="11">
        <f t="shared" ref="BD81:BE81" si="22">BD79+BD22</f>
        <v>6161833</v>
      </c>
      <c r="BE81" s="11">
        <f t="shared" si="22"/>
        <v>8027839</v>
      </c>
      <c r="BF81" s="12"/>
      <c r="BG81" s="5"/>
      <c r="BH81" s="5"/>
      <c r="BI81" s="5"/>
      <c r="BJ81" s="5"/>
      <c r="BK81" s="6"/>
      <c r="BL81" s="75">
        <f t="shared" ref="BL81:BN81" si="23">BL79+BL22</f>
        <v>373110</v>
      </c>
      <c r="BM81" s="75">
        <f t="shared" si="23"/>
        <v>13815389</v>
      </c>
      <c r="BN81" s="75">
        <f t="shared" si="23"/>
        <v>14716630.573450416</v>
      </c>
      <c r="BO81" s="141"/>
      <c r="BP81" s="141"/>
      <c r="BQ81" s="8"/>
      <c r="BR81" s="5"/>
      <c r="BT81" s="5"/>
    </row>
    <row r="82" spans="1:72" s="73" customFormat="1" x14ac:dyDescent="0.25">
      <c r="A82" s="68"/>
      <c r="B82" s="68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69"/>
      <c r="BD82" s="69"/>
      <c r="BE82" s="69"/>
      <c r="BF82" s="69"/>
      <c r="BG82" s="70"/>
      <c r="BH82" s="70"/>
      <c r="BI82" s="70"/>
      <c r="BJ82" s="70"/>
      <c r="BK82" s="71"/>
      <c r="BL82" s="102"/>
      <c r="BM82" s="102"/>
      <c r="BN82" s="102"/>
      <c r="BO82" s="147"/>
      <c r="BP82" s="147"/>
      <c r="BQ82" s="72"/>
      <c r="BR82" s="70"/>
      <c r="BT82" s="70"/>
    </row>
    <row r="83" spans="1:72" x14ac:dyDescent="0.25">
      <c r="A83" s="1" t="s">
        <v>118</v>
      </c>
      <c r="B83" s="14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4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4"/>
      <c r="AZ83" s="103"/>
      <c r="BA83" s="104"/>
      <c r="BB83" s="103"/>
      <c r="BC83" s="42"/>
      <c r="BD83" s="28"/>
      <c r="BE83" s="28"/>
      <c r="BF83" s="42"/>
      <c r="BK83" s="6"/>
      <c r="BL83" s="103"/>
      <c r="BM83" s="103"/>
      <c r="BN83" s="103"/>
      <c r="BQ83" s="8"/>
      <c r="BR83" s="38"/>
    </row>
    <row r="84" spans="1:72" x14ac:dyDescent="0.25">
      <c r="A84" s="6">
        <v>40210</v>
      </c>
      <c r="B84" s="35" t="s">
        <v>119</v>
      </c>
      <c r="C84" s="74"/>
      <c r="D84" s="74"/>
      <c r="E84" s="74"/>
      <c r="F84" s="74">
        <v>100000</v>
      </c>
      <c r="G84" s="74"/>
      <c r="H84" s="74"/>
      <c r="I84" s="74"/>
      <c r="J84" s="74"/>
      <c r="K84" s="74"/>
      <c r="L84" s="110">
        <f>SUM(C84:K84)</f>
        <v>100000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>
        <f t="shared" ref="AX84:AX93" si="24">SUM(N84:AV84)</f>
        <v>0</v>
      </c>
      <c r="AY84" s="74"/>
      <c r="AZ84" s="74">
        <v>0</v>
      </c>
      <c r="BA84" s="74"/>
      <c r="BB84" s="82">
        <f t="shared" ref="BB84:BB93" si="25">L84+AX84+AZ84</f>
        <v>100000</v>
      </c>
      <c r="BD84" s="122">
        <f t="shared" ref="BD84:BD100" si="26">+AV84+AT84+AR84+AP84+AN84+AL84+AJ84+AH84+AF84+AD84+AB84+AA84+Z84+X84+V84+T84+R84+P84+N84</f>
        <v>0</v>
      </c>
      <c r="BE84" s="122">
        <f t="shared" ref="BE84:BE100" si="27">AW84+AU84+AS84+AQ84+AO84+AM84+AK84+AI84+AG84+AE84+AC84+Y84+U84+S84+Q84+O84</f>
        <v>0</v>
      </c>
      <c r="BG84" s="18"/>
      <c r="BH84" s="18"/>
      <c r="BK84" s="6"/>
      <c r="BL84" s="74"/>
      <c r="BM84" s="74"/>
      <c r="BN84" s="74"/>
      <c r="BQ84" s="8"/>
      <c r="BR84" s="38"/>
    </row>
    <row r="85" spans="1:72" x14ac:dyDescent="0.25">
      <c r="A85" s="6">
        <v>40225</v>
      </c>
      <c r="B85" s="35" t="s">
        <v>120</v>
      </c>
      <c r="C85" s="74"/>
      <c r="D85" s="74"/>
      <c r="E85" s="74"/>
      <c r="F85" s="74">
        <v>0</v>
      </c>
      <c r="G85" s="74"/>
      <c r="H85" s="74"/>
      <c r="I85" s="74"/>
      <c r="J85" s="74"/>
      <c r="K85" s="74"/>
      <c r="L85" s="110">
        <f t="shared" ref="L85:L100" si="28">SUM(C85:K85)</f>
        <v>0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>
        <f t="shared" si="24"/>
        <v>0</v>
      </c>
      <c r="AY85" s="74"/>
      <c r="AZ85" s="74">
        <v>0</v>
      </c>
      <c r="BA85" s="74"/>
      <c r="BB85" s="82">
        <f t="shared" si="25"/>
        <v>0</v>
      </c>
      <c r="BD85" s="122">
        <f t="shared" si="26"/>
        <v>0</v>
      </c>
      <c r="BE85" s="122">
        <f t="shared" si="27"/>
        <v>0</v>
      </c>
      <c r="BG85" s="7"/>
      <c r="BH85" s="7"/>
      <c r="BK85" s="6"/>
      <c r="BL85" s="74"/>
      <c r="BM85" s="74"/>
      <c r="BN85" s="74"/>
      <c r="BQ85" s="8"/>
    </row>
    <row r="86" spans="1:72" x14ac:dyDescent="0.25">
      <c r="A86" s="6">
        <v>40230</v>
      </c>
      <c r="B86" s="35" t="s">
        <v>121</v>
      </c>
      <c r="C86" s="74"/>
      <c r="D86" s="74"/>
      <c r="E86" s="74"/>
      <c r="F86" s="74">
        <v>0</v>
      </c>
      <c r="G86" s="74"/>
      <c r="H86" s="74"/>
      <c r="I86" s="74"/>
      <c r="J86" s="74"/>
      <c r="K86" s="74"/>
      <c r="L86" s="110">
        <f t="shared" si="28"/>
        <v>0</v>
      </c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>
        <f t="shared" si="24"/>
        <v>0</v>
      </c>
      <c r="AY86" s="74"/>
      <c r="AZ86" s="74">
        <v>0</v>
      </c>
      <c r="BA86" s="74"/>
      <c r="BB86" s="82">
        <f t="shared" si="25"/>
        <v>0</v>
      </c>
      <c r="BD86" s="122">
        <f t="shared" si="26"/>
        <v>0</v>
      </c>
      <c r="BE86" s="122">
        <f t="shared" si="27"/>
        <v>0</v>
      </c>
      <c r="BG86" s="7"/>
      <c r="BH86" s="7"/>
      <c r="BK86" s="6"/>
      <c r="BL86" s="74"/>
      <c r="BM86" s="74"/>
      <c r="BN86" s="74"/>
      <c r="BQ86" s="8"/>
    </row>
    <row r="87" spans="1:72" x14ac:dyDescent="0.25">
      <c r="A87" s="6">
        <v>40235</v>
      </c>
      <c r="B87" s="35" t="s">
        <v>122</v>
      </c>
      <c r="C87" s="74"/>
      <c r="D87" s="74"/>
      <c r="E87" s="74"/>
      <c r="F87" s="74">
        <v>0</v>
      </c>
      <c r="G87" s="74"/>
      <c r="H87" s="74"/>
      <c r="I87" s="74"/>
      <c r="J87" s="74"/>
      <c r="K87" s="74"/>
      <c r="L87" s="110">
        <f t="shared" si="28"/>
        <v>0</v>
      </c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>
        <f t="shared" si="24"/>
        <v>0</v>
      </c>
      <c r="AY87" s="74"/>
      <c r="AZ87" s="74">
        <v>0</v>
      </c>
      <c r="BA87" s="74"/>
      <c r="BB87" s="82">
        <f t="shared" si="25"/>
        <v>0</v>
      </c>
      <c r="BD87" s="122">
        <f t="shared" si="26"/>
        <v>0</v>
      </c>
      <c r="BE87" s="122">
        <f t="shared" si="27"/>
        <v>0</v>
      </c>
      <c r="BG87" s="7"/>
      <c r="BH87" s="7"/>
      <c r="BK87" s="6"/>
      <c r="BL87" s="74"/>
      <c r="BM87" s="74"/>
      <c r="BN87" s="74"/>
      <c r="BQ87" s="8"/>
    </row>
    <row r="88" spans="1:72" hidden="1" x14ac:dyDescent="0.25">
      <c r="A88" s="6">
        <v>40241</v>
      </c>
      <c r="B88" s="35" t="s">
        <v>123</v>
      </c>
      <c r="C88" s="74"/>
      <c r="D88" s="74"/>
      <c r="E88" s="74"/>
      <c r="F88" s="74">
        <v>0</v>
      </c>
      <c r="G88" s="74"/>
      <c r="H88" s="74"/>
      <c r="I88" s="74"/>
      <c r="J88" s="74"/>
      <c r="K88" s="74"/>
      <c r="L88" s="110">
        <f t="shared" si="28"/>
        <v>0</v>
      </c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>
        <f t="shared" si="24"/>
        <v>0</v>
      </c>
      <c r="AY88" s="74"/>
      <c r="AZ88" s="74"/>
      <c r="BA88" s="74"/>
      <c r="BB88" s="82">
        <f t="shared" si="25"/>
        <v>0</v>
      </c>
      <c r="BD88" s="122">
        <f t="shared" si="26"/>
        <v>0</v>
      </c>
      <c r="BE88" s="122">
        <f t="shared" si="27"/>
        <v>0</v>
      </c>
      <c r="BG88" s="7"/>
      <c r="BH88" s="7"/>
      <c r="BL88" s="74"/>
      <c r="BM88" s="74"/>
      <c r="BN88" s="74"/>
      <c r="BQ88" s="8"/>
    </row>
    <row r="89" spans="1:72" x14ac:dyDescent="0.25">
      <c r="A89" s="6">
        <v>40243</v>
      </c>
      <c r="B89" s="35" t="s">
        <v>124</v>
      </c>
      <c r="C89" s="74"/>
      <c r="D89" s="74"/>
      <c r="E89" s="74"/>
      <c r="F89" s="74">
        <v>-509040</v>
      </c>
      <c r="G89" s="74"/>
      <c r="H89" s="74"/>
      <c r="I89" s="74"/>
      <c r="J89" s="74"/>
      <c r="K89" s="74"/>
      <c r="L89" s="110">
        <f t="shared" si="28"/>
        <v>-509040</v>
      </c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>
        <f t="shared" si="24"/>
        <v>0</v>
      </c>
      <c r="AY89" s="74"/>
      <c r="AZ89" s="74">
        <v>0</v>
      </c>
      <c r="BA89" s="74"/>
      <c r="BB89" s="82">
        <f t="shared" si="25"/>
        <v>-509040</v>
      </c>
      <c r="BD89" s="122">
        <f t="shared" si="26"/>
        <v>0</v>
      </c>
      <c r="BE89" s="122">
        <f t="shared" si="27"/>
        <v>0</v>
      </c>
      <c r="BG89" s="7"/>
      <c r="BL89" s="74"/>
      <c r="BM89" s="74"/>
      <c r="BN89" s="74"/>
      <c r="BQ89" s="8"/>
    </row>
    <row r="90" spans="1:72" hidden="1" x14ac:dyDescent="0.25">
      <c r="A90" s="6">
        <v>40244</v>
      </c>
      <c r="B90" s="35" t="s">
        <v>125</v>
      </c>
      <c r="C90" s="74"/>
      <c r="D90" s="74"/>
      <c r="E90" s="74"/>
      <c r="F90" s="74">
        <v>0</v>
      </c>
      <c r="G90" s="74"/>
      <c r="H90" s="74"/>
      <c r="I90" s="74"/>
      <c r="J90" s="74"/>
      <c r="K90" s="74"/>
      <c r="L90" s="110">
        <f t="shared" si="28"/>
        <v>0</v>
      </c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>
        <f t="shared" si="24"/>
        <v>0</v>
      </c>
      <c r="AY90" s="74"/>
      <c r="AZ90" s="74"/>
      <c r="BA90" s="74"/>
      <c r="BB90" s="82">
        <f t="shared" si="25"/>
        <v>0</v>
      </c>
      <c r="BD90" s="122">
        <f t="shared" si="26"/>
        <v>0</v>
      </c>
      <c r="BE90" s="122">
        <f t="shared" si="27"/>
        <v>0</v>
      </c>
      <c r="BG90" s="8"/>
      <c r="BL90" s="74"/>
      <c r="BM90" s="74"/>
      <c r="BN90" s="74"/>
      <c r="BQ90" s="8"/>
    </row>
    <row r="91" spans="1:72" x14ac:dyDescent="0.25">
      <c r="A91" s="6">
        <v>40245</v>
      </c>
      <c r="B91" s="35" t="s">
        <v>126</v>
      </c>
      <c r="C91" s="74"/>
      <c r="D91" s="74"/>
      <c r="E91" s="74"/>
      <c r="F91" s="74">
        <v>-332040</v>
      </c>
      <c r="G91" s="74"/>
      <c r="H91" s="74"/>
      <c r="I91" s="74"/>
      <c r="J91" s="74"/>
      <c r="K91" s="74"/>
      <c r="L91" s="110">
        <f t="shared" si="28"/>
        <v>-332040</v>
      </c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>
        <f t="shared" si="24"/>
        <v>0</v>
      </c>
      <c r="AY91" s="74"/>
      <c r="AZ91" s="74">
        <v>0</v>
      </c>
      <c r="BA91" s="74"/>
      <c r="BB91" s="82">
        <f t="shared" si="25"/>
        <v>-332040</v>
      </c>
      <c r="BD91" s="122">
        <f t="shared" si="26"/>
        <v>0</v>
      </c>
      <c r="BE91" s="122">
        <f t="shared" si="27"/>
        <v>0</v>
      </c>
      <c r="BL91" s="74"/>
      <c r="BM91" s="74"/>
      <c r="BN91" s="74"/>
      <c r="BQ91" s="8"/>
    </row>
    <row r="92" spans="1:72" hidden="1" x14ac:dyDescent="0.25">
      <c r="A92" s="6">
        <v>40246</v>
      </c>
      <c r="B92" s="35" t="s">
        <v>127</v>
      </c>
      <c r="C92" s="74"/>
      <c r="D92" s="74"/>
      <c r="E92" s="74"/>
      <c r="F92" s="74">
        <v>0</v>
      </c>
      <c r="G92" s="74"/>
      <c r="H92" s="74"/>
      <c r="I92" s="74"/>
      <c r="J92" s="74"/>
      <c r="K92" s="74"/>
      <c r="L92" s="110">
        <f t="shared" si="28"/>
        <v>0</v>
      </c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>
        <f t="shared" si="24"/>
        <v>0</v>
      </c>
      <c r="AY92" s="74"/>
      <c r="AZ92" s="74"/>
      <c r="BA92" s="74"/>
      <c r="BB92" s="82">
        <f t="shared" si="25"/>
        <v>0</v>
      </c>
      <c r="BD92" s="122">
        <f t="shared" si="26"/>
        <v>0</v>
      </c>
      <c r="BE92" s="122">
        <f t="shared" si="27"/>
        <v>0</v>
      </c>
      <c r="BL92" s="74"/>
      <c r="BM92" s="74"/>
      <c r="BN92" s="74"/>
      <c r="BQ92" s="8"/>
    </row>
    <row r="93" spans="1:72" hidden="1" x14ac:dyDescent="0.25">
      <c r="A93" s="6">
        <v>40247</v>
      </c>
      <c r="B93" s="35" t="s">
        <v>128</v>
      </c>
      <c r="C93" s="74"/>
      <c r="D93" s="74"/>
      <c r="E93" s="74"/>
      <c r="F93" s="74">
        <v>0</v>
      </c>
      <c r="G93" s="74"/>
      <c r="H93" s="74"/>
      <c r="I93" s="74"/>
      <c r="J93" s="74"/>
      <c r="K93" s="74"/>
      <c r="L93" s="110">
        <f t="shared" si="28"/>
        <v>0</v>
      </c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>
        <f t="shared" si="24"/>
        <v>0</v>
      </c>
      <c r="AY93" s="74"/>
      <c r="AZ93" s="74"/>
      <c r="BA93" s="74"/>
      <c r="BB93" s="82">
        <f t="shared" si="25"/>
        <v>0</v>
      </c>
      <c r="BD93" s="122">
        <f t="shared" si="26"/>
        <v>0</v>
      </c>
      <c r="BE93" s="122">
        <f t="shared" si="27"/>
        <v>0</v>
      </c>
      <c r="BL93" s="74"/>
      <c r="BM93" s="74"/>
      <c r="BN93" s="74"/>
      <c r="BQ93" s="8"/>
    </row>
    <row r="94" spans="1:72" hidden="1" x14ac:dyDescent="0.25">
      <c r="B94" s="35"/>
      <c r="C94" s="74"/>
      <c r="D94" s="74"/>
      <c r="E94" s="74"/>
      <c r="F94" s="74"/>
      <c r="G94" s="74"/>
      <c r="H94" s="74"/>
      <c r="I94" s="74"/>
      <c r="J94" s="74"/>
      <c r="K94" s="74"/>
      <c r="L94" s="110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82"/>
      <c r="BD94" s="122">
        <f t="shared" si="26"/>
        <v>0</v>
      </c>
      <c r="BE94" s="122">
        <f t="shared" si="27"/>
        <v>0</v>
      </c>
      <c r="BL94" s="74"/>
      <c r="BM94" s="74"/>
      <c r="BN94" s="74"/>
      <c r="BQ94" s="8"/>
    </row>
    <row r="95" spans="1:72" x14ac:dyDescent="0.25">
      <c r="A95" s="6">
        <v>40300</v>
      </c>
      <c r="B95" s="35" t="s">
        <v>129</v>
      </c>
      <c r="C95" s="74"/>
      <c r="D95" s="74"/>
      <c r="E95" s="74"/>
      <c r="F95" s="74">
        <v>26624124</v>
      </c>
      <c r="G95" s="74"/>
      <c r="H95" s="74"/>
      <c r="I95" s="74"/>
      <c r="J95" s="74"/>
      <c r="K95" s="74"/>
      <c r="L95" s="110">
        <f t="shared" si="28"/>
        <v>26624124</v>
      </c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>
        <f>SUM(N95:AV95)</f>
        <v>0</v>
      </c>
      <c r="AY95" s="74"/>
      <c r="AZ95" s="74">
        <v>0</v>
      </c>
      <c r="BA95" s="74"/>
      <c r="BB95" s="82">
        <f>L95+AX95+AZ95</f>
        <v>26624124</v>
      </c>
      <c r="BD95" s="122">
        <f t="shared" si="26"/>
        <v>0</v>
      </c>
      <c r="BE95" s="122">
        <f t="shared" si="27"/>
        <v>0</v>
      </c>
      <c r="BL95" s="74"/>
      <c r="BM95" s="74"/>
      <c r="BN95" s="74"/>
      <c r="BQ95" s="8"/>
    </row>
    <row r="96" spans="1:72" hidden="1" x14ac:dyDescent="0.25">
      <c r="B96" s="35"/>
      <c r="C96" s="74"/>
      <c r="D96" s="74"/>
      <c r="E96" s="74"/>
      <c r="F96" s="74"/>
      <c r="G96" s="74"/>
      <c r="H96" s="74"/>
      <c r="I96" s="74"/>
      <c r="J96" s="74"/>
      <c r="K96" s="74"/>
      <c r="L96" s="110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82"/>
      <c r="BD96" s="122">
        <f t="shared" si="26"/>
        <v>0</v>
      </c>
      <c r="BE96" s="122">
        <f t="shared" si="27"/>
        <v>0</v>
      </c>
      <c r="BL96" s="74"/>
      <c r="BM96" s="74"/>
      <c r="BN96" s="74"/>
      <c r="BQ96" s="8"/>
      <c r="BT96" s="38"/>
    </row>
    <row r="97" spans="1:72" x14ac:dyDescent="0.25">
      <c r="A97" s="6">
        <v>40400</v>
      </c>
      <c r="B97" s="35" t="s">
        <v>130</v>
      </c>
      <c r="C97" s="74"/>
      <c r="D97" s="74"/>
      <c r="E97" s="74"/>
      <c r="F97" s="74">
        <v>16506873</v>
      </c>
      <c r="G97" s="74"/>
      <c r="H97" s="74"/>
      <c r="I97" s="74"/>
      <c r="J97" s="74"/>
      <c r="K97" s="74"/>
      <c r="L97" s="110">
        <f t="shared" si="28"/>
        <v>16506873</v>
      </c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>
        <f>SUM(N97:AV97)</f>
        <v>0</v>
      </c>
      <c r="AY97" s="74"/>
      <c r="AZ97" s="74">
        <v>0</v>
      </c>
      <c r="BA97" s="74"/>
      <c r="BB97" s="82">
        <v>16506873</v>
      </c>
      <c r="BD97" s="122">
        <f t="shared" si="26"/>
        <v>0</v>
      </c>
      <c r="BE97" s="122">
        <f t="shared" si="27"/>
        <v>0</v>
      </c>
      <c r="BG97" s="43"/>
      <c r="BH97" s="43"/>
      <c r="BI97" s="43"/>
      <c r="BL97" s="74"/>
      <c r="BM97" s="74"/>
      <c r="BN97" s="74"/>
      <c r="BQ97" s="8"/>
    </row>
    <row r="98" spans="1:72" x14ac:dyDescent="0.25">
      <c r="A98" s="6">
        <v>40410</v>
      </c>
      <c r="B98" s="35" t="s">
        <v>131</v>
      </c>
      <c r="C98" s="74"/>
      <c r="D98" s="74"/>
      <c r="E98" s="74"/>
      <c r="F98" s="82">
        <v>6094359</v>
      </c>
      <c r="G98" s="74"/>
      <c r="H98" s="74"/>
      <c r="I98" s="74"/>
      <c r="J98" s="74"/>
      <c r="K98" s="74"/>
      <c r="L98" s="110">
        <f t="shared" si="28"/>
        <v>6094359</v>
      </c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>
        <f>SUM(N98:AV98)</f>
        <v>0</v>
      </c>
      <c r="AY98" s="74"/>
      <c r="AZ98" s="74">
        <v>0</v>
      </c>
      <c r="BA98" s="74"/>
      <c r="BB98" s="82">
        <f>L98+AX98+AZ98</f>
        <v>6094359</v>
      </c>
      <c r="BD98" s="122">
        <f t="shared" si="26"/>
        <v>0</v>
      </c>
      <c r="BE98" s="122">
        <f t="shared" si="27"/>
        <v>0</v>
      </c>
      <c r="BG98" s="13"/>
      <c r="BH98" s="13"/>
      <c r="BI98" s="13"/>
      <c r="BL98" s="74"/>
      <c r="BM98" s="74"/>
      <c r="BN98" s="74"/>
      <c r="BQ98" s="8"/>
    </row>
    <row r="99" spans="1:72" x14ac:dyDescent="0.25">
      <c r="A99" s="6">
        <v>40413</v>
      </c>
      <c r="B99" s="35" t="s">
        <v>132</v>
      </c>
      <c r="C99" s="74"/>
      <c r="D99" s="74"/>
      <c r="E99" s="74"/>
      <c r="F99" s="74">
        <v>0</v>
      </c>
      <c r="G99" s="74"/>
      <c r="H99" s="74"/>
      <c r="I99" s="74"/>
      <c r="J99" s="74"/>
      <c r="K99" s="74"/>
      <c r="L99" s="74">
        <f t="shared" si="28"/>
        <v>0</v>
      </c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>
        <f>SUM(N99:AV99)</f>
        <v>0</v>
      </c>
      <c r="AY99" s="74"/>
      <c r="AZ99" s="74">
        <v>0</v>
      </c>
      <c r="BA99" s="74"/>
      <c r="BB99" s="82">
        <f>L99+AX99+AZ99</f>
        <v>0</v>
      </c>
      <c r="BD99" s="122">
        <f t="shared" si="26"/>
        <v>0</v>
      </c>
      <c r="BE99" s="122">
        <f t="shared" si="27"/>
        <v>0</v>
      </c>
      <c r="BL99" s="74"/>
      <c r="BM99" s="74"/>
      <c r="BN99" s="74"/>
      <c r="BQ99" s="8"/>
    </row>
    <row r="100" spans="1:72" x14ac:dyDescent="0.25">
      <c r="A100" s="39">
        <v>40414</v>
      </c>
      <c r="B100" s="120" t="s">
        <v>133</v>
      </c>
      <c r="C100" s="83"/>
      <c r="D100" s="83"/>
      <c r="E100" s="83"/>
      <c r="F100" s="83">
        <v>0</v>
      </c>
      <c r="G100" s="83"/>
      <c r="H100" s="83"/>
      <c r="I100" s="83"/>
      <c r="J100" s="83"/>
      <c r="K100" s="83"/>
      <c r="L100" s="83">
        <f t="shared" si="28"/>
        <v>0</v>
      </c>
      <c r="M100" s="74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>
        <f>SUM(N100:AV100)</f>
        <v>0</v>
      </c>
      <c r="AY100" s="74"/>
      <c r="AZ100" s="83">
        <v>0</v>
      </c>
      <c r="BA100" s="74"/>
      <c r="BB100" s="87">
        <f>L100+AX100+AZ100</f>
        <v>0</v>
      </c>
      <c r="BD100" s="123">
        <f t="shared" si="26"/>
        <v>0</v>
      </c>
      <c r="BE100" s="123">
        <f t="shared" si="27"/>
        <v>0</v>
      </c>
      <c r="BL100" s="83"/>
      <c r="BM100" s="83"/>
      <c r="BN100" s="152"/>
      <c r="BQ100" s="8"/>
    </row>
    <row r="101" spans="1:72" s="13" customFormat="1" x14ac:dyDescent="0.25">
      <c r="A101" s="10"/>
      <c r="B101" s="44" t="s">
        <v>134</v>
      </c>
      <c r="C101" s="75">
        <f t="shared" ref="C101:L101" si="29">SUM(C84:C100)</f>
        <v>0</v>
      </c>
      <c r="D101" s="75">
        <f t="shared" si="29"/>
        <v>0</v>
      </c>
      <c r="E101" s="75">
        <f t="shared" si="29"/>
        <v>0</v>
      </c>
      <c r="F101" s="75">
        <f t="shared" si="29"/>
        <v>48484276</v>
      </c>
      <c r="G101" s="75">
        <f t="shared" si="29"/>
        <v>0</v>
      </c>
      <c r="H101" s="75">
        <f t="shared" si="29"/>
        <v>0</v>
      </c>
      <c r="I101" s="75">
        <f t="shared" si="29"/>
        <v>0</v>
      </c>
      <c r="J101" s="75">
        <f t="shared" si="29"/>
        <v>0</v>
      </c>
      <c r="K101" s="75">
        <f t="shared" ref="K101" si="30">SUM(K84:K100)</f>
        <v>0</v>
      </c>
      <c r="L101" s="75">
        <f t="shared" si="29"/>
        <v>48484276</v>
      </c>
      <c r="M101" s="88"/>
      <c r="N101" s="75">
        <f>SUM(N84:N87,N95:N100)-N89-N91</f>
        <v>0</v>
      </c>
      <c r="O101" s="75">
        <f>SUM(O84:O87,O95:O100)-O89-O91</f>
        <v>0</v>
      </c>
      <c r="P101" s="75">
        <f>SUM(P84:P87,P95:P100)-P89-P91</f>
        <v>0</v>
      </c>
      <c r="Q101" s="75">
        <f>SUM(Q84:Q87,Q95:Q100)-Q89-Q91</f>
        <v>0</v>
      </c>
      <c r="R101" s="75">
        <f t="shared" ref="R101:AZ101" si="31">SUM(R84:R87,R95:R100)-R89-R91</f>
        <v>0</v>
      </c>
      <c r="S101" s="75">
        <f>SUM(S84:S87,S95:S100)-S89-S91</f>
        <v>0</v>
      </c>
      <c r="T101" s="75">
        <f t="shared" si="31"/>
        <v>0</v>
      </c>
      <c r="U101" s="75">
        <f>SUM(U84:U87,U95:U100)-U89-U91</f>
        <v>0</v>
      </c>
      <c r="V101" s="75">
        <f>SUM(V84:V87,V95:V100)-V89-V91</f>
        <v>0</v>
      </c>
      <c r="W101" s="75"/>
      <c r="X101" s="75">
        <f t="shared" si="31"/>
        <v>0</v>
      </c>
      <c r="Y101" s="75">
        <f>SUM(Y84:Y87,Y95:Y100)-Y89-Y91</f>
        <v>0</v>
      </c>
      <c r="Z101" s="75">
        <f t="shared" si="31"/>
        <v>0</v>
      </c>
      <c r="AA101" s="75">
        <f t="shared" si="31"/>
        <v>0</v>
      </c>
      <c r="AB101" s="75">
        <f>SUM(AB84:AB87,AB95:AB100)-AB89-AB91</f>
        <v>0</v>
      </c>
      <c r="AC101" s="75">
        <f>SUM(AC84:AC87,AC95:AC100)-AC89-AC91</f>
        <v>0</v>
      </c>
      <c r="AD101" s="75"/>
      <c r="AE101" s="75"/>
      <c r="AF101" s="75">
        <f>SUM(AF84:AF87,AF95:AF100)-AF89-AF91</f>
        <v>0</v>
      </c>
      <c r="AG101" s="75">
        <f>SUM(AG84:AG87,AG95:AG100)-AG89-AG91</f>
        <v>0</v>
      </c>
      <c r="AH101" s="75">
        <f t="shared" si="31"/>
        <v>0</v>
      </c>
      <c r="AI101" s="75"/>
      <c r="AJ101" s="75">
        <f t="shared" ref="AJ101:AO101" si="32">SUM(AJ84:AJ87,AJ95:AJ100)-AJ89-AJ91</f>
        <v>0</v>
      </c>
      <c r="AK101" s="75">
        <f t="shared" si="32"/>
        <v>0</v>
      </c>
      <c r="AL101" s="75">
        <f t="shared" si="32"/>
        <v>0</v>
      </c>
      <c r="AM101" s="75">
        <f t="shared" si="32"/>
        <v>0</v>
      </c>
      <c r="AN101" s="75">
        <f t="shared" si="32"/>
        <v>0</v>
      </c>
      <c r="AO101" s="75">
        <f t="shared" si="32"/>
        <v>0</v>
      </c>
      <c r="AP101" s="75">
        <f t="shared" si="31"/>
        <v>0</v>
      </c>
      <c r="AQ101" s="75">
        <f>SUM(AQ84:AQ87,AQ95:AQ100)-AQ89-AQ91</f>
        <v>0</v>
      </c>
      <c r="AR101" s="75">
        <f t="shared" si="31"/>
        <v>0</v>
      </c>
      <c r="AS101" s="75">
        <f>SUM(AS84:AS87,AS95:AS100)-AS89-AS91</f>
        <v>0</v>
      </c>
      <c r="AT101" s="75">
        <f t="shared" si="31"/>
        <v>0</v>
      </c>
      <c r="AU101" s="75">
        <f>SUM(AU84:AU87,AU95:AU100)-AU89-AU91</f>
        <v>0</v>
      </c>
      <c r="AV101" s="75">
        <f t="shared" si="31"/>
        <v>0</v>
      </c>
      <c r="AW101" s="75">
        <f>SUM(AW84:AW87,AW95:AW100)-AW89-AW91</f>
        <v>0</v>
      </c>
      <c r="AX101" s="75">
        <f t="shared" si="31"/>
        <v>0</v>
      </c>
      <c r="AY101" s="88"/>
      <c r="AZ101" s="75">
        <f t="shared" si="31"/>
        <v>0</v>
      </c>
      <c r="BA101" s="88"/>
      <c r="BB101" s="75">
        <f t="shared" ref="BB101" si="33">SUM(BB84:BB100)</f>
        <v>48484276</v>
      </c>
      <c r="BC101" s="12"/>
      <c r="BD101" s="11">
        <f t="shared" ref="BD101:BE101" si="34">SUM(BD84:BD87,BD95:BD100)-BD89-BD91</f>
        <v>0</v>
      </c>
      <c r="BE101" s="11">
        <f t="shared" si="34"/>
        <v>0</v>
      </c>
      <c r="BF101" s="12"/>
      <c r="BG101" s="5"/>
      <c r="BH101" s="5"/>
      <c r="BI101" s="5"/>
      <c r="BJ101" s="5"/>
      <c r="BK101" s="5"/>
      <c r="BL101" s="75"/>
      <c r="BM101" s="75"/>
      <c r="BN101" s="75"/>
      <c r="BO101" s="141"/>
      <c r="BP101" s="141"/>
      <c r="BQ101" s="8"/>
      <c r="BR101" s="5"/>
      <c r="BS101" s="5"/>
      <c r="BT101" s="5"/>
    </row>
    <row r="102" spans="1:72" ht="15" customHeight="1" x14ac:dyDescent="0.25"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82"/>
      <c r="BL102" s="74"/>
      <c r="BM102" s="74"/>
      <c r="BN102" s="74"/>
      <c r="BQ102" s="8"/>
      <c r="BS102" s="38"/>
    </row>
    <row r="103" spans="1:72" x14ac:dyDescent="0.25"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105" t="s">
        <v>135</v>
      </c>
      <c r="BA103" s="74"/>
      <c r="BB103" s="82">
        <f>BB5-BB81+BB101</f>
        <v>9538535</v>
      </c>
      <c r="BL103" s="74"/>
      <c r="BM103" s="74"/>
      <c r="BN103" s="74"/>
      <c r="BQ103" s="8"/>
    </row>
    <row r="104" spans="1:72" hidden="1" x14ac:dyDescent="0.25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105" t="s">
        <v>136</v>
      </c>
      <c r="BA104" s="74"/>
      <c r="BB104" s="82">
        <f>BB5-BB82+BB101</f>
        <v>52522969</v>
      </c>
      <c r="BL104" s="74"/>
      <c r="BM104" s="74"/>
      <c r="BN104" s="74"/>
      <c r="BQ104" s="8"/>
      <c r="BR104" s="38"/>
    </row>
    <row r="105" spans="1:72" x14ac:dyDescent="0.25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BD105" s="160" t="s">
        <v>137</v>
      </c>
      <c r="BE105" s="160"/>
      <c r="BL105" s="74"/>
      <c r="BM105" s="74"/>
      <c r="BN105" s="74"/>
      <c r="BQ105" s="8"/>
    </row>
    <row r="106" spans="1:72" ht="68.400000000000006" customHeight="1" x14ac:dyDescent="0.25">
      <c r="C106" s="106" t="str">
        <f>C1</f>
        <v>FY21
100
CEO</v>
      </c>
      <c r="D106" s="106" t="str">
        <f>D1</f>
        <v>FY21
105
Administration</v>
      </c>
      <c r="E106" s="106" t="str">
        <f>E1</f>
        <v>FY21
110
Board</v>
      </c>
      <c r="F106" s="106" t="str">
        <f>F1</f>
        <v>FY21
120
Finance</v>
      </c>
      <c r="G106" s="106" t="str">
        <f>G1</f>
        <v>FY21
130
Planning</v>
      </c>
      <c r="H106" s="106" t="str">
        <f>H1</f>
        <v>FY21
140
C&amp;M</v>
      </c>
      <c r="I106" s="106" t="str">
        <f>I1</f>
        <v>FY21
150
Transit Management</v>
      </c>
      <c r="J106" s="106" t="str">
        <f>J1</f>
        <v>FY21
170
Human Resources</v>
      </c>
      <c r="K106" s="106" t="str">
        <f>K1</f>
        <v>FY21
180
Information Technology</v>
      </c>
      <c r="L106" s="106" t="str">
        <f>L1</f>
        <v>TOTAL
FY21
G&amp;A</v>
      </c>
      <c r="M106" s="106"/>
      <c r="N106" s="106" t="str">
        <f>N1</f>
        <v>FY21
200
UNT</v>
      </c>
      <c r="O106" s="106" t="str">
        <f>O1</f>
        <v>FY21
701
NTMC UNT</v>
      </c>
      <c r="P106" s="106" t="str">
        <f>P1</f>
        <v>FY21
210
NCTC</v>
      </c>
      <c r="Q106" s="106" t="str">
        <f>Q1</f>
        <v>FY21
702
NTMC NCTC</v>
      </c>
      <c r="R106" s="106" t="str">
        <f>R1</f>
        <v>FY21
220
Frisco</v>
      </c>
      <c r="S106" s="106" t="str">
        <f>S1</f>
        <v>FY21
703
NTMC Frisco</v>
      </c>
      <c r="T106" s="106" t="str">
        <f>T1</f>
        <v>FY21
230
CCT</v>
      </c>
      <c r="U106" s="106" t="str">
        <f>U1</f>
        <v>FY21
704
NTMC CCT</v>
      </c>
      <c r="V106" s="106" t="str">
        <f>V1</f>
        <v>FY21
240
MaaS</v>
      </c>
      <c r="W106" s="106" t="str">
        <f>W1</f>
        <v>FY21
705
NTMC MaaS</v>
      </c>
      <c r="X106" s="106" t="str">
        <f>X1</f>
        <v>FY21
500
Bus Service 
Admin</v>
      </c>
      <c r="Y106" s="106" t="str">
        <f>Y1</f>
        <v>FY21
700
NTMC Bus Service 
Admin</v>
      </c>
      <c r="Z106" s="106" t="str">
        <f>Z1</f>
        <v>FY21
505
Bus Ops 
Mgmt</v>
      </c>
      <c r="AA106" s="106" t="str">
        <f>AA1</f>
        <v>FY21
510
Fixed 
Route</v>
      </c>
      <c r="AB106" s="106" t="str">
        <f>AB1</f>
        <v>FY21
511
Denton
Fixed Route</v>
      </c>
      <c r="AC106" s="106" t="str">
        <f>AC1</f>
        <v>FY21
711
NTMC Denton
Fixed Route</v>
      </c>
      <c r="AD106" s="106" t="str">
        <f>AD1</f>
        <v>FY21
512
Highland Village
Fixed Route</v>
      </c>
      <c r="AE106" s="106" t="str">
        <f>AE1</f>
        <v>FY21
712
NTMC Highland Village
Fixed Route</v>
      </c>
      <c r="AF106" s="106" t="str">
        <f>AF1</f>
        <v>FY21
513
Lewisville
Fixed Route</v>
      </c>
      <c r="AG106" s="106" t="str">
        <f>AG1</f>
        <v>FY21
713
NTMC Lewisville
Fixed Route</v>
      </c>
      <c r="AH106" s="106" t="str">
        <f>AH1</f>
        <v>FY21
530
Demand Response</v>
      </c>
      <c r="AI106" s="106" t="str">
        <f>AI1</f>
        <v>FY21
730
NTMC Demand Response</v>
      </c>
      <c r="AJ106" s="106" t="str">
        <f>AJ1</f>
        <v>FY21
531
Denton
Demand Response</v>
      </c>
      <c r="AK106" s="106" t="str">
        <f>AK1</f>
        <v>FY21
731
NTMC Denton
Demand Response</v>
      </c>
      <c r="AL106" s="106" t="str">
        <f>AL1</f>
        <v>FY21
532
HV
Demand Response</v>
      </c>
      <c r="AM106" s="106" t="str">
        <f>AM1</f>
        <v>FY21
732
NTMC HV
Demand Response</v>
      </c>
      <c r="AN106" s="106" t="str">
        <f>AN1</f>
        <v>FY21
533
Lewisville
Demand Response</v>
      </c>
      <c r="AO106" s="106" t="str">
        <f>AO1</f>
        <v>FY21
733
NTMC Lewisville
Demand Response</v>
      </c>
      <c r="AP106" s="106" t="str">
        <f>AP1</f>
        <v>FY21
540
NTX</v>
      </c>
      <c r="AQ106" s="106" t="str">
        <f>AQ1</f>
        <v>FY21
740
NTMC NTX</v>
      </c>
      <c r="AR106" s="106" t="str">
        <f>AR1</f>
        <v>FY21
570
Customer Service</v>
      </c>
      <c r="AS106" s="106" t="str">
        <f>AS1</f>
        <v>FY21
770
NTMC Customer Service</v>
      </c>
      <c r="AT106" s="106" t="str">
        <f>AT1</f>
        <v>FY21
580
S&amp;D</v>
      </c>
      <c r="AU106" s="106" t="str">
        <f>AU1</f>
        <v>FY21
780
NTMC S&amp;D</v>
      </c>
      <c r="AV106" s="106" t="str">
        <f>AV1</f>
        <v>FY21
590
Maintenance</v>
      </c>
      <c r="AW106" s="106" t="str">
        <f>AW1</f>
        <v>FY21
790
NTMC Maintenance</v>
      </c>
      <c r="AX106" s="106" t="str">
        <f>AX1</f>
        <v>TOTAL
FY21
Bus
Services
(DCTA + NTMC)</v>
      </c>
      <c r="AY106" s="106"/>
      <c r="AZ106" s="106" t="str">
        <f>AZ1</f>
        <v>TOTAL 
FY21
Rail 
Services</v>
      </c>
      <c r="BA106" s="106"/>
      <c r="BB106" s="106" t="s">
        <v>209</v>
      </c>
      <c r="BC106" s="45"/>
      <c r="BD106" s="125" t="s">
        <v>139</v>
      </c>
      <c r="BE106" s="125" t="s">
        <v>140</v>
      </c>
      <c r="BF106" s="45"/>
      <c r="BG106" s="46" t="s">
        <v>141</v>
      </c>
      <c r="BH106" s="106" t="s">
        <v>206</v>
      </c>
      <c r="BI106" s="106" t="s">
        <v>207</v>
      </c>
      <c r="BJ106" s="59" t="s">
        <v>208</v>
      </c>
      <c r="BK106" s="138" t="s">
        <v>210</v>
      </c>
      <c r="BL106" s="106"/>
      <c r="BM106" s="106" t="s">
        <v>211</v>
      </c>
      <c r="BN106" s="106"/>
      <c r="BO106" s="148" t="s">
        <v>212</v>
      </c>
      <c r="BP106" s="148" t="s">
        <v>213</v>
      </c>
      <c r="BQ106" s="8"/>
    </row>
    <row r="107" spans="1:72" x14ac:dyDescent="0.25">
      <c r="B107" s="35" t="s">
        <v>142</v>
      </c>
      <c r="C107" s="74">
        <f>SUM(C8:C21)</f>
        <v>350472</v>
      </c>
      <c r="D107" s="74">
        <f>SUM(D8:D21)</f>
        <v>138318</v>
      </c>
      <c r="E107" s="74">
        <f>SUM(E8:E21)</f>
        <v>0</v>
      </c>
      <c r="F107" s="74">
        <f>SUM(F8:F21)</f>
        <v>1283604</v>
      </c>
      <c r="G107" s="74">
        <f>SUM(G8:G21)</f>
        <v>483189</v>
      </c>
      <c r="H107" s="74">
        <f>SUM(H8:H21)</f>
        <v>347934</v>
      </c>
      <c r="I107" s="74">
        <f>SUM(I8:I21)</f>
        <v>509412</v>
      </c>
      <c r="J107" s="74">
        <f>SUM(J8:J21)</f>
        <v>133167</v>
      </c>
      <c r="K107" s="74">
        <f>SUM(K8:K21)</f>
        <v>285576</v>
      </c>
      <c r="L107" s="74">
        <f>SUM(L8:L21)</f>
        <v>3531672</v>
      </c>
      <c r="M107" s="74"/>
      <c r="N107" s="74">
        <f>SUM(N8:N21)</f>
        <v>0</v>
      </c>
      <c r="O107" s="74">
        <f>SUM(O8:O21)</f>
        <v>1232875</v>
      </c>
      <c r="P107" s="74">
        <f>SUM(P8:P21)</f>
        <v>0</v>
      </c>
      <c r="Q107" s="74">
        <f>SUM(Q8:Q21)</f>
        <v>0</v>
      </c>
      <c r="R107" s="74">
        <f>SUM(R8:R21)</f>
        <v>0</v>
      </c>
      <c r="S107" s="74">
        <f>SUM(S8:S21)</f>
        <v>128344</v>
      </c>
      <c r="T107" s="74">
        <f>SUM(T8:T21)</f>
        <v>0</v>
      </c>
      <c r="U107" s="74">
        <f>SUM(U8:U21)</f>
        <v>15434</v>
      </c>
      <c r="V107" s="74">
        <f>SUM(V8:V21)</f>
        <v>0</v>
      </c>
      <c r="W107" s="74">
        <f>SUM(W8:W21)</f>
        <v>0</v>
      </c>
      <c r="X107" s="74">
        <f>SUM(X8:X21)</f>
        <v>0</v>
      </c>
      <c r="Y107" s="74">
        <f>SUM(Y8:Y21)</f>
        <v>277590</v>
      </c>
      <c r="Z107" s="74">
        <f>SUM(Z8:Z21)</f>
        <v>373110</v>
      </c>
      <c r="AA107" s="74">
        <f>SUM(AA8:AA21)</f>
        <v>0</v>
      </c>
      <c r="AB107" s="74">
        <f>SUM(AB8:AB21)</f>
        <v>0</v>
      </c>
      <c r="AC107" s="74">
        <f>SUM(AC8:AC21)</f>
        <v>1362137</v>
      </c>
      <c r="AD107" s="74">
        <f>SUM(AD8:AD21)</f>
        <v>0</v>
      </c>
      <c r="AE107" s="74">
        <f>SUM(AE8:AE21)</f>
        <v>0</v>
      </c>
      <c r="AF107" s="74">
        <f>SUM(AF8:AF21)</f>
        <v>0</v>
      </c>
      <c r="AG107" s="74">
        <f>SUM(AG8:AG21)</f>
        <v>871070</v>
      </c>
      <c r="AH107" s="74">
        <f>SUM(AH8:AH21)</f>
        <v>0</v>
      </c>
      <c r="AI107" s="74">
        <f>SUM(AI8:AI21)</f>
        <v>0</v>
      </c>
      <c r="AJ107" s="74">
        <f>SUM(AJ8:AJ21)</f>
        <v>0</v>
      </c>
      <c r="AK107" s="74">
        <f>SUM(AK8:AK21)</f>
        <v>294366</v>
      </c>
      <c r="AL107" s="74">
        <f>SUM(AL8:AL21)</f>
        <v>0</v>
      </c>
      <c r="AM107" s="74">
        <f>SUM(AM8:AM21)</f>
        <v>32789</v>
      </c>
      <c r="AN107" s="74">
        <f>SUM(AN8:AN21)</f>
        <v>0</v>
      </c>
      <c r="AO107" s="74">
        <f>SUM(AO8:AO21)</f>
        <v>290347</v>
      </c>
      <c r="AP107" s="74">
        <f>SUM(AP8:AP21)</f>
        <v>0</v>
      </c>
      <c r="AQ107" s="74">
        <f>SUM(AQ8:AQ21)</f>
        <v>131653</v>
      </c>
      <c r="AR107" s="74">
        <f>SUM(AR8:AR21)</f>
        <v>0</v>
      </c>
      <c r="AS107" s="74">
        <f>SUM(AS8:AS21)</f>
        <v>575502</v>
      </c>
      <c r="AT107" s="74">
        <f>SUM(AT8:AT21)</f>
        <v>0</v>
      </c>
      <c r="AU107" s="74">
        <f>SUM(AU8:AU21)</f>
        <v>1006831</v>
      </c>
      <c r="AV107" s="74">
        <f>SUM(AV8:AV21)</f>
        <v>0</v>
      </c>
      <c r="AW107" s="74">
        <f>SUM(AW8:AW21)</f>
        <v>1232376</v>
      </c>
      <c r="AX107" s="74">
        <f>SUM(AX8:AX21)</f>
        <v>7824424</v>
      </c>
      <c r="AY107" s="74"/>
      <c r="AZ107" s="74">
        <f>SUM(AZ8:AZ21)</f>
        <v>288429</v>
      </c>
      <c r="BA107" s="74"/>
      <c r="BB107" s="74">
        <f t="shared" ref="BB107:BB115" si="35">L107+AX107+AZ107</f>
        <v>11644525</v>
      </c>
      <c r="BC107" s="7"/>
      <c r="BD107" s="126">
        <f t="shared" ref="BD107:BD116" si="36">AW107+AU107+AS107+AQ107+AO107+AM107+AK107+AI107+AG107+AE107+AC107+Y107+U107+S107+Q107+O107</f>
        <v>7451314</v>
      </c>
      <c r="BE107" s="126">
        <f>AX107-BD107</f>
        <v>373110</v>
      </c>
      <c r="BF107" s="7"/>
      <c r="BG107" s="47">
        <f>L107+AZ107+BE107</f>
        <v>4193211</v>
      </c>
      <c r="BH107" s="8">
        <f>+P107+R107+T107+V107+X107+Z107+AB107+AF107+AJ107+AL107+AN107+AP107+AR107+AT107+AV107</f>
        <v>373110</v>
      </c>
      <c r="BI107" s="8">
        <f t="shared" ref="BI107:BI115" si="37">+O107+Q107+S107+U107+W107+Y107+AC107+AG107+AK107+AM107+AO107+AQ107+AS107+AU107+AW107</f>
        <v>7451314</v>
      </c>
      <c r="BJ107" s="8">
        <f>BH107+BI107</f>
        <v>7824424</v>
      </c>
      <c r="BK107" s="82">
        <f>L107+AZ107+BH107</f>
        <v>4193211</v>
      </c>
      <c r="BL107" s="74"/>
      <c r="BM107" s="74">
        <f t="shared" ref="BM107:BM115" si="38">+AV107+AT107+AR107+AP107+AN107+AL107+AJ107+AF107+AB107+Z107+X107+V107+T107+R107+P107+N107</f>
        <v>373110</v>
      </c>
      <c r="BN107" s="74"/>
      <c r="BO107" s="157">
        <f t="shared" ref="BO107:BO115" si="39">+AW107+AU107+AS107+AQ107+AO107+AM107+AK107+AG107+AC107+AA107+Y107+W107+U107+S107+Q107+O107</f>
        <v>7451314</v>
      </c>
      <c r="BP107" s="157">
        <f>BM107+AZ107+L107</f>
        <v>4193211</v>
      </c>
      <c r="BQ107" s="8"/>
    </row>
    <row r="108" spans="1:72" x14ac:dyDescent="0.25">
      <c r="B108" s="35" t="s">
        <v>194</v>
      </c>
      <c r="C108" s="74">
        <f>SUM(C24:C38)</f>
        <v>408000</v>
      </c>
      <c r="D108" s="74">
        <f>SUM(D24:D38)</f>
        <v>58630</v>
      </c>
      <c r="E108" s="74">
        <f>SUM(E24:E38)</f>
        <v>62985</v>
      </c>
      <c r="F108" s="74">
        <f>SUM(F24:F38)</f>
        <v>422890</v>
      </c>
      <c r="G108" s="74">
        <f>SUM(G24:G38)</f>
        <v>602050</v>
      </c>
      <c r="H108" s="74">
        <f>SUM(H24:H38)</f>
        <v>369260</v>
      </c>
      <c r="I108" s="74">
        <f>SUM(I24:I38)</f>
        <v>41000</v>
      </c>
      <c r="J108" s="74">
        <f>SUM(J24:J38)</f>
        <v>39400</v>
      </c>
      <c r="K108" s="74">
        <f>SUM(K24:K38)</f>
        <v>214400</v>
      </c>
      <c r="L108" s="74">
        <f>SUM(L24:L38)</f>
        <v>2218615</v>
      </c>
      <c r="M108" s="74"/>
      <c r="N108" s="74">
        <f>SUM(N24:N38)</f>
        <v>0</v>
      </c>
      <c r="O108" s="74">
        <f>SUM(O24:O38)</f>
        <v>7383</v>
      </c>
      <c r="P108" s="74">
        <f>SUM(P24:P38)</f>
        <v>0</v>
      </c>
      <c r="Q108" s="74">
        <f>SUM(Q24:Q38)</f>
        <v>0</v>
      </c>
      <c r="R108" s="74">
        <f>SUM(R24:R38)</f>
        <v>0</v>
      </c>
      <c r="S108" s="74">
        <f>SUM(S24:S38)</f>
        <v>1180</v>
      </c>
      <c r="T108" s="74">
        <f>SUM(T24:T38)</f>
        <v>0</v>
      </c>
      <c r="U108" s="74">
        <f>SUM(U24:U38)</f>
        <v>150</v>
      </c>
      <c r="V108" s="74">
        <f>SUM(V24:V38)</f>
        <v>0</v>
      </c>
      <c r="W108" s="74">
        <f>SUM(W24:W38)</f>
        <v>0</v>
      </c>
      <c r="X108" s="74">
        <f>SUM(X24:X38)</f>
        <v>750331</v>
      </c>
      <c r="Y108" s="74">
        <f>SUM(Y24:Y38)</f>
        <v>357473</v>
      </c>
      <c r="Z108" s="74">
        <f>SUM(Z24:Z38)</f>
        <v>0</v>
      </c>
      <c r="AA108" s="74">
        <f>SUM(AA24:AA38)</f>
        <v>0</v>
      </c>
      <c r="AB108" s="74">
        <f>SUM(AB24:AB38)</f>
        <v>38207</v>
      </c>
      <c r="AC108" s="74">
        <f>SUM(AC24:AC38)</f>
        <v>8659</v>
      </c>
      <c r="AD108" s="74">
        <f>SUM(AD24:AD38)</f>
        <v>0</v>
      </c>
      <c r="AE108" s="74">
        <f>SUM(AE24:AE38)</f>
        <v>0</v>
      </c>
      <c r="AF108" s="74">
        <f>SUM(AF24:AF38)</f>
        <v>28073</v>
      </c>
      <c r="AG108" s="74">
        <f>SUM(AG24:AG38)</f>
        <v>6360</v>
      </c>
      <c r="AH108" s="74">
        <f>SUM(AH24:AH38)</f>
        <v>0</v>
      </c>
      <c r="AI108" s="74">
        <f>SUM(AI24:AI38)</f>
        <v>0</v>
      </c>
      <c r="AJ108" s="74">
        <f>SUM(AJ24:AJ38)</f>
        <v>43012</v>
      </c>
      <c r="AK108" s="74">
        <f>SUM(AK24:AK38)</f>
        <v>1826</v>
      </c>
      <c r="AL108" s="74">
        <f>SUM(AL24:AL38)</f>
        <v>6333</v>
      </c>
      <c r="AM108" s="74">
        <f>SUM(AM24:AM38)</f>
        <v>231</v>
      </c>
      <c r="AN108" s="74">
        <f>SUM(AN24:AN38)</f>
        <v>29158</v>
      </c>
      <c r="AO108" s="74">
        <f>SUM(AO24:AO38)</f>
        <v>1246</v>
      </c>
      <c r="AP108" s="74">
        <f>SUM(AP24:AP38)</f>
        <v>8160</v>
      </c>
      <c r="AQ108" s="74">
        <f>SUM(AQ24:AQ38)</f>
        <v>1911</v>
      </c>
      <c r="AR108" s="74">
        <f>SUM(AR24:AR38)</f>
        <v>98064</v>
      </c>
      <c r="AS108" s="74">
        <f>SUM(AS24:AS38)</f>
        <v>0</v>
      </c>
      <c r="AT108" s="74">
        <f>SUM(AT24:AT38)</f>
        <v>0</v>
      </c>
      <c r="AU108" s="74">
        <f>SUM(AU24:AU38)</f>
        <v>0</v>
      </c>
      <c r="AV108" s="74">
        <f>SUM(AV24:AV38)</f>
        <v>256980</v>
      </c>
      <c r="AW108" s="74">
        <f>SUM(AW24:AW38)</f>
        <v>13500</v>
      </c>
      <c r="AX108" s="74">
        <f>SUM(AX24:AX38)</f>
        <v>1658237</v>
      </c>
      <c r="AY108" s="74"/>
      <c r="AZ108" s="74">
        <f>SUM(AZ24:AZ38)</f>
        <v>479026</v>
      </c>
      <c r="BA108" s="74"/>
      <c r="BB108" s="74">
        <f t="shared" si="35"/>
        <v>4355878</v>
      </c>
      <c r="BC108" s="7"/>
      <c r="BD108" s="126">
        <f t="shared" si="36"/>
        <v>399919</v>
      </c>
      <c r="BE108" s="126">
        <f t="shared" ref="BE108:BE115" si="40">AX108-BD108</f>
        <v>1258318</v>
      </c>
      <c r="BF108" s="7"/>
      <c r="BG108" s="47">
        <f t="shared" ref="BG108:BG115" si="41">L108+AZ108+BE108</f>
        <v>3955959</v>
      </c>
      <c r="BH108" s="8">
        <f>+P108+R108+T108+V108+X108+Z108+AB108+AF108+AJ108+AL108+AN108+AP108+AR108+AT108+AV108</f>
        <v>1258318</v>
      </c>
      <c r="BI108" s="8">
        <f t="shared" si="37"/>
        <v>399919</v>
      </c>
      <c r="BJ108" s="8">
        <f t="shared" ref="BJ108:BJ115" si="42">BH108+BI108</f>
        <v>1658237</v>
      </c>
      <c r="BK108" s="82">
        <f t="shared" ref="BK108:BK116" si="43">L108+AZ108+BH108</f>
        <v>3955959</v>
      </c>
      <c r="BL108" s="74"/>
      <c r="BM108" s="74">
        <f t="shared" si="38"/>
        <v>1258318</v>
      </c>
      <c r="BN108" s="74"/>
      <c r="BO108" s="157">
        <f t="shared" si="39"/>
        <v>399919</v>
      </c>
      <c r="BP108" s="157">
        <f t="shared" ref="BP108:BP115" si="44">BM108+AZ108+L108</f>
        <v>3955959</v>
      </c>
      <c r="BQ108" s="8"/>
    </row>
    <row r="109" spans="1:72" x14ac:dyDescent="0.25">
      <c r="B109" s="35" t="s">
        <v>195</v>
      </c>
      <c r="C109" s="74">
        <f>SUM(C39:C48)</f>
        <v>0</v>
      </c>
      <c r="D109" s="74">
        <f>SUM(D39:D48)</f>
        <v>18200</v>
      </c>
      <c r="E109" s="74">
        <f>SUM(E39:E48)</f>
        <v>500</v>
      </c>
      <c r="F109" s="74">
        <f>SUM(F39:F48)</f>
        <v>0</v>
      </c>
      <c r="G109" s="74">
        <f>SUM(G39:G48)</f>
        <v>0</v>
      </c>
      <c r="H109" s="74">
        <f>SUM(H39:H48)</f>
        <v>22050</v>
      </c>
      <c r="I109" s="74">
        <f>SUM(I39:I48)</f>
        <v>0</v>
      </c>
      <c r="J109" s="74">
        <f>SUM(J39:J48)</f>
        <v>0</v>
      </c>
      <c r="K109" s="74">
        <f>SUM(K39:K48)</f>
        <v>29300</v>
      </c>
      <c r="L109" s="74">
        <f>SUM(L39:L48)</f>
        <v>70050</v>
      </c>
      <c r="M109" s="74"/>
      <c r="N109" s="74">
        <f>SUM(N39:N48)</f>
        <v>342308</v>
      </c>
      <c r="O109" s="74">
        <f>SUM(O39:O48)</f>
        <v>0</v>
      </c>
      <c r="P109" s="74">
        <f>SUM(P39:P48)</f>
        <v>0</v>
      </c>
      <c r="Q109" s="74">
        <f>SUM(Q39:Q48)</f>
        <v>0</v>
      </c>
      <c r="R109" s="74">
        <f>SUM(R39:R48)</f>
        <v>33084</v>
      </c>
      <c r="S109" s="74">
        <f>SUM(S39:S48)</f>
        <v>0</v>
      </c>
      <c r="T109" s="74">
        <f>SUM(T39:T48)</f>
        <v>3994</v>
      </c>
      <c r="U109" s="74">
        <f>SUM(U39:U48)</f>
        <v>0</v>
      </c>
      <c r="V109" s="74">
        <f>SUM(V39:V48)</f>
        <v>0</v>
      </c>
      <c r="W109" s="74">
        <f>SUM(W39:W48)</f>
        <v>0</v>
      </c>
      <c r="X109" s="74">
        <f>SUM(X39:X48)</f>
        <v>25569</v>
      </c>
      <c r="Y109" s="74">
        <f>SUM(Y39:Y48)</f>
        <v>3293</v>
      </c>
      <c r="Z109" s="74">
        <f>SUM(Z39:Z48)</f>
        <v>0</v>
      </c>
      <c r="AA109" s="74">
        <f>SUM(AA39:AA48)</f>
        <v>0</v>
      </c>
      <c r="AB109" s="74">
        <f>SUM(AB39:AB48)</f>
        <v>303023</v>
      </c>
      <c r="AC109" s="74">
        <f>SUM(AC39:AC48)</f>
        <v>0</v>
      </c>
      <c r="AD109" s="74">
        <f>SUM(AD39:AD48)</f>
        <v>0</v>
      </c>
      <c r="AE109" s="74">
        <f>SUM(AE39:AE48)</f>
        <v>0</v>
      </c>
      <c r="AF109" s="74">
        <f>SUM(AF39:AF48)</f>
        <v>156428</v>
      </c>
      <c r="AG109" s="74">
        <f>SUM(AG39:AG48)</f>
        <v>0</v>
      </c>
      <c r="AH109" s="74">
        <f>SUM(AH39:AH48)</f>
        <v>0</v>
      </c>
      <c r="AI109" s="74">
        <f>SUM(AI39:AI48)</f>
        <v>0</v>
      </c>
      <c r="AJ109" s="74">
        <f>SUM(AJ39:AJ48)</f>
        <v>51497</v>
      </c>
      <c r="AK109" s="74">
        <f>SUM(AK39:AK48)</f>
        <v>0</v>
      </c>
      <c r="AL109" s="74">
        <f>SUM(AL39:AL48)</f>
        <v>5940</v>
      </c>
      <c r="AM109" s="74">
        <f>SUM(AM39:AM48)</f>
        <v>0</v>
      </c>
      <c r="AN109" s="74">
        <f>SUM(AN39:AN48)</f>
        <v>99048</v>
      </c>
      <c r="AO109" s="74">
        <f>SUM(AO39:AO48)</f>
        <v>0</v>
      </c>
      <c r="AP109" s="74">
        <f>SUM(AP39:AP48)</f>
        <v>46787</v>
      </c>
      <c r="AQ109" s="74">
        <f>SUM(AQ39:AQ48)</f>
        <v>0</v>
      </c>
      <c r="AR109" s="74">
        <f>SUM(AR39:AR48)</f>
        <v>11400</v>
      </c>
      <c r="AS109" s="74">
        <f>SUM(AS39:AS48)</f>
        <v>0</v>
      </c>
      <c r="AT109" s="74">
        <f>SUM(AT39:AT48)</f>
        <v>21600</v>
      </c>
      <c r="AU109" s="74">
        <f>SUM(AU39:AU48)</f>
        <v>0</v>
      </c>
      <c r="AV109" s="74">
        <f>SUM(AV39:AV48)</f>
        <v>724707</v>
      </c>
      <c r="AW109" s="74">
        <f>SUM(AW39:AW48)</f>
        <v>0</v>
      </c>
      <c r="AX109" s="74">
        <f>SUM(AX39:AX48)</f>
        <v>1828678</v>
      </c>
      <c r="AY109" s="74"/>
      <c r="AZ109" s="74">
        <f>SUM(AZ39:AZ48)</f>
        <v>1022300</v>
      </c>
      <c r="BA109" s="74"/>
      <c r="BB109" s="74">
        <f t="shared" si="35"/>
        <v>2921028</v>
      </c>
      <c r="BC109" s="7"/>
      <c r="BD109" s="126">
        <f t="shared" si="36"/>
        <v>3293</v>
      </c>
      <c r="BE109" s="126">
        <f t="shared" si="40"/>
        <v>1825385</v>
      </c>
      <c r="BF109" s="7"/>
      <c r="BG109" s="47">
        <f t="shared" si="41"/>
        <v>2917735</v>
      </c>
      <c r="BH109" s="8">
        <f t="shared" ref="BH109:BH115" si="45">+P109+R109+T109+V109+X109+Z109+AB109+AF109+AJ109+AL109+AN109+AP109+AR109+AT109+AV109+N109</f>
        <v>1825385</v>
      </c>
      <c r="BI109" s="8">
        <f t="shared" si="37"/>
        <v>3293</v>
      </c>
      <c r="BJ109" s="8">
        <f t="shared" si="42"/>
        <v>1828678</v>
      </c>
      <c r="BK109" s="82">
        <f t="shared" si="43"/>
        <v>2917735</v>
      </c>
      <c r="BL109" s="74"/>
      <c r="BM109" s="74">
        <f t="shared" si="38"/>
        <v>1825385</v>
      </c>
      <c r="BN109" s="74"/>
      <c r="BO109" s="157">
        <f t="shared" si="39"/>
        <v>3293</v>
      </c>
      <c r="BP109" s="157">
        <f t="shared" si="44"/>
        <v>2917735</v>
      </c>
      <c r="BQ109" s="8"/>
    </row>
    <row r="110" spans="1:72" x14ac:dyDescent="0.25">
      <c r="B110" s="35" t="s">
        <v>143</v>
      </c>
      <c r="C110" s="74">
        <f>SUM(C49:C52)</f>
        <v>0</v>
      </c>
      <c r="D110" s="74">
        <f>SUM(D49:D52)</f>
        <v>23600</v>
      </c>
      <c r="E110" s="74">
        <f>SUM(E49:E52)</f>
        <v>0</v>
      </c>
      <c r="F110" s="74">
        <f>SUM(F49:F52)</f>
        <v>0</v>
      </c>
      <c r="G110" s="74">
        <f>SUM(G49:G52)</f>
        <v>0</v>
      </c>
      <c r="H110" s="74">
        <f>SUM(H49:H52)</f>
        <v>0</v>
      </c>
      <c r="I110" s="74">
        <f>SUM(I49:I52)</f>
        <v>0</v>
      </c>
      <c r="J110" s="74">
        <f>SUM(J49:J52)</f>
        <v>0</v>
      </c>
      <c r="K110" s="74">
        <f>SUM(K49:K52)</f>
        <v>0</v>
      </c>
      <c r="L110" s="74">
        <f>SUM(L49:L52)</f>
        <v>23600</v>
      </c>
      <c r="M110" s="74"/>
      <c r="N110" s="74">
        <f>SUM(N49:N52)</f>
        <v>0</v>
      </c>
      <c r="O110" s="74">
        <f>SUM(O49:O52)</f>
        <v>0</v>
      </c>
      <c r="P110" s="74">
        <f>SUM(P49:P52)</f>
        <v>0</v>
      </c>
      <c r="Q110" s="74">
        <f>SUM(Q49:Q52)</f>
        <v>0</v>
      </c>
      <c r="R110" s="74">
        <f>SUM(R49:R52)</f>
        <v>9794</v>
      </c>
      <c r="S110" s="74">
        <f>SUM(S49:S52)</f>
        <v>0</v>
      </c>
      <c r="T110" s="74">
        <f>SUM(T49:T52)</f>
        <v>1072</v>
      </c>
      <c r="U110" s="74">
        <f>SUM(U49:U52)</f>
        <v>0</v>
      </c>
      <c r="V110" s="74">
        <f>SUM(V49:V52)</f>
        <v>0</v>
      </c>
      <c r="W110" s="74">
        <f>SUM(W49:W52)</f>
        <v>0</v>
      </c>
      <c r="X110" s="74">
        <f>SUM(X49:X52)</f>
        <v>150300</v>
      </c>
      <c r="Y110" s="74">
        <f>SUM(Y49:Y52)</f>
        <v>0</v>
      </c>
      <c r="Z110" s="74">
        <f>SUM(Z49:Z52)</f>
        <v>0</v>
      </c>
      <c r="AA110" s="74">
        <f>SUM(AA49:AA52)</f>
        <v>0</v>
      </c>
      <c r="AB110" s="74">
        <f>SUM(AB49:AB52)</f>
        <v>0</v>
      </c>
      <c r="AC110" s="74">
        <f>SUM(AC49:AC52)</f>
        <v>0</v>
      </c>
      <c r="AD110" s="74">
        <f>SUM(AD49:AD52)</f>
        <v>0</v>
      </c>
      <c r="AE110" s="74">
        <f>SUM(AE49:AE52)</f>
        <v>0</v>
      </c>
      <c r="AF110" s="74">
        <f>SUM(AF49:AF52)</f>
        <v>0</v>
      </c>
      <c r="AG110" s="74">
        <f>SUM(AG49:AG52)</f>
        <v>0</v>
      </c>
      <c r="AH110" s="74">
        <f>SUM(AH49:AH52)</f>
        <v>0</v>
      </c>
      <c r="AI110" s="74">
        <f>SUM(AI49:AI52)</f>
        <v>0</v>
      </c>
      <c r="AJ110" s="74">
        <f>SUM(AJ49:AJ52)</f>
        <v>12375</v>
      </c>
      <c r="AK110" s="74">
        <f>SUM(AK49:AK52)</f>
        <v>0</v>
      </c>
      <c r="AL110" s="74">
        <f>SUM(AL49:AL52)</f>
        <v>1556</v>
      </c>
      <c r="AM110" s="74">
        <f>SUM(AM49:AM52)</f>
        <v>0</v>
      </c>
      <c r="AN110" s="74">
        <f>SUM(AN49:AN52)</f>
        <v>8603</v>
      </c>
      <c r="AO110" s="74">
        <f>SUM(AO49:AO52)</f>
        <v>0</v>
      </c>
      <c r="AP110" s="74">
        <f>SUM(AP49:AP52)</f>
        <v>0</v>
      </c>
      <c r="AQ110" s="74">
        <f>SUM(AQ49:AQ52)</f>
        <v>0</v>
      </c>
      <c r="AR110" s="74">
        <f>SUM(AR49:AR52)</f>
        <v>21600</v>
      </c>
      <c r="AS110" s="74">
        <f>SUM(AS49:AS52)</f>
        <v>0</v>
      </c>
      <c r="AT110" s="74">
        <f>SUM(AT49:AT52)</f>
        <v>12000</v>
      </c>
      <c r="AU110" s="74">
        <f>SUM(AU49:AU52)</f>
        <v>0</v>
      </c>
      <c r="AV110" s="74">
        <f>SUM(AV49:AV52)</f>
        <v>0</v>
      </c>
      <c r="AW110" s="74">
        <f>SUM(AW49:AW52)</f>
        <v>0</v>
      </c>
      <c r="AX110" s="74">
        <f>SUM(AX49:AX52)</f>
        <v>217300</v>
      </c>
      <c r="AY110" s="74"/>
      <c r="AZ110" s="74">
        <f>SUM(AZ49:AZ52)</f>
        <v>265768</v>
      </c>
      <c r="BA110" s="74"/>
      <c r="BB110" s="74">
        <f t="shared" si="35"/>
        <v>506668</v>
      </c>
      <c r="BC110" s="7"/>
      <c r="BD110" s="126">
        <f t="shared" si="36"/>
        <v>0</v>
      </c>
      <c r="BE110" s="126">
        <f t="shared" si="40"/>
        <v>217300</v>
      </c>
      <c r="BF110" s="7"/>
      <c r="BG110" s="47">
        <f t="shared" si="41"/>
        <v>506668</v>
      </c>
      <c r="BH110" s="8">
        <f t="shared" si="45"/>
        <v>217300</v>
      </c>
      <c r="BI110" s="8">
        <f t="shared" si="37"/>
        <v>0</v>
      </c>
      <c r="BJ110" s="8">
        <f t="shared" si="42"/>
        <v>217300</v>
      </c>
      <c r="BK110" s="82">
        <f t="shared" si="43"/>
        <v>506668</v>
      </c>
      <c r="BL110" s="74"/>
      <c r="BM110" s="74">
        <f t="shared" si="38"/>
        <v>217300</v>
      </c>
      <c r="BN110" s="74"/>
      <c r="BO110" s="157">
        <f t="shared" si="39"/>
        <v>0</v>
      </c>
      <c r="BP110" s="157">
        <f t="shared" si="44"/>
        <v>506668</v>
      </c>
      <c r="BQ110" s="8"/>
    </row>
    <row r="111" spans="1:72" x14ac:dyDescent="0.25">
      <c r="B111" s="35" t="s">
        <v>144</v>
      </c>
      <c r="C111" s="74">
        <f>SUM(C53:C60)</f>
        <v>0</v>
      </c>
      <c r="D111" s="74">
        <f>SUM(D53:D60)</f>
        <v>0</v>
      </c>
      <c r="E111" s="74">
        <f>SUM(E53:E60)</f>
        <v>0</v>
      </c>
      <c r="F111" s="74">
        <f>SUM(F53:F60)</f>
        <v>13788</v>
      </c>
      <c r="G111" s="74">
        <f>SUM(G53:G60)</f>
        <v>0</v>
      </c>
      <c r="H111" s="74">
        <f>SUM(H53:H60)</f>
        <v>0</v>
      </c>
      <c r="I111" s="74">
        <f>SUM(I53:I60)</f>
        <v>0</v>
      </c>
      <c r="J111" s="74">
        <f>SUM(J53:J60)</f>
        <v>0</v>
      </c>
      <c r="K111" s="74">
        <f>SUM(K53:K60)</f>
        <v>0</v>
      </c>
      <c r="L111" s="74">
        <f>SUM(L53:L60)</f>
        <v>13788</v>
      </c>
      <c r="M111" s="74"/>
      <c r="N111" s="74">
        <f>SUM(N53:N60)</f>
        <v>85224</v>
      </c>
      <c r="O111" s="74">
        <f>SUM(O53:O60)</f>
        <v>32256</v>
      </c>
      <c r="P111" s="74">
        <f>SUM(P53:P60)</f>
        <v>0</v>
      </c>
      <c r="Q111" s="74">
        <f>SUM(Q53:Q60)</f>
        <v>0</v>
      </c>
      <c r="R111" s="74">
        <f>SUM(R53:R60)</f>
        <v>20148</v>
      </c>
      <c r="S111" s="74">
        <f>SUM(S53:S60)</f>
        <v>3936</v>
      </c>
      <c r="T111" s="74">
        <f>SUM(T53:T60)</f>
        <v>2187</v>
      </c>
      <c r="U111" s="74">
        <f>SUM(U53:U60)</f>
        <v>462</v>
      </c>
      <c r="V111" s="74">
        <f>SUM(V53:V60)</f>
        <v>0</v>
      </c>
      <c r="W111" s="74">
        <f>SUM(W53:W60)</f>
        <v>0</v>
      </c>
      <c r="X111" s="74">
        <f>SUM(X53:X60)</f>
        <v>0</v>
      </c>
      <c r="Y111" s="74">
        <f>SUM(Y53:Y60)</f>
        <v>336</v>
      </c>
      <c r="Z111" s="74">
        <f>SUM(Z53:Z60)</f>
        <v>0</v>
      </c>
      <c r="AA111" s="74">
        <f>SUM(AA53:AA60)</f>
        <v>0</v>
      </c>
      <c r="AB111" s="74">
        <f>SUM(AB53:AB60)</f>
        <v>92832</v>
      </c>
      <c r="AC111" s="74">
        <f>SUM(AC53:AC60)</f>
        <v>30024</v>
      </c>
      <c r="AD111" s="74">
        <f>SUM(AD53:AD60)</f>
        <v>0</v>
      </c>
      <c r="AE111" s="74">
        <f>SUM(AE53:AE60)</f>
        <v>0</v>
      </c>
      <c r="AF111" s="74">
        <f>SUM(AF53:AF60)</f>
        <v>56340</v>
      </c>
      <c r="AG111" s="74">
        <f>SUM(AG53:AG60)</f>
        <v>15876</v>
      </c>
      <c r="AH111" s="74">
        <f>SUM(AH53:AH60)</f>
        <v>0</v>
      </c>
      <c r="AI111" s="74">
        <f>SUM(AI53:AI60)</f>
        <v>0</v>
      </c>
      <c r="AJ111" s="74">
        <f>SUM(AJ53:AJ60)</f>
        <v>28140</v>
      </c>
      <c r="AK111" s="74">
        <f>SUM(AK53:AK60)</f>
        <v>8928</v>
      </c>
      <c r="AL111" s="74">
        <f>SUM(AL53:AL60)</f>
        <v>3372</v>
      </c>
      <c r="AM111" s="74">
        <f>SUM(AM53:AM60)</f>
        <v>996</v>
      </c>
      <c r="AN111" s="74">
        <f>SUM(AN53:AN60)</f>
        <v>16860</v>
      </c>
      <c r="AO111" s="74">
        <f>SUM(AO53:AO60)</f>
        <v>8808</v>
      </c>
      <c r="AP111" s="74">
        <f>SUM(AP53:AP60)</f>
        <v>0</v>
      </c>
      <c r="AQ111" s="74">
        <f>SUM(AQ53:AQ60)</f>
        <v>3996</v>
      </c>
      <c r="AR111" s="74">
        <f>SUM(AR53:AR60)</f>
        <v>0</v>
      </c>
      <c r="AS111" s="74">
        <f>SUM(AS53:AS60)</f>
        <v>492</v>
      </c>
      <c r="AT111" s="74">
        <f>SUM(AT53:AT60)</f>
        <v>1980</v>
      </c>
      <c r="AU111" s="74">
        <f>SUM(AU53:AU60)</f>
        <v>588</v>
      </c>
      <c r="AV111" s="74">
        <f>SUM(AV53:AV60)</f>
        <v>21504</v>
      </c>
      <c r="AW111" s="74">
        <f>SUM(AW53:AW60)</f>
        <v>12180</v>
      </c>
      <c r="AX111" s="74">
        <f>SUM(AX53:AX60)</f>
        <v>447465</v>
      </c>
      <c r="AY111" s="74"/>
      <c r="AZ111" s="74">
        <f>SUM(AZ53:AZ60)</f>
        <v>1338961</v>
      </c>
      <c r="BA111" s="74"/>
      <c r="BB111" s="74">
        <f t="shared" si="35"/>
        <v>1800214</v>
      </c>
      <c r="BC111" s="7"/>
      <c r="BD111" s="126">
        <f t="shared" si="36"/>
        <v>118878</v>
      </c>
      <c r="BE111" s="126">
        <f t="shared" si="40"/>
        <v>328587</v>
      </c>
      <c r="BF111" s="7"/>
      <c r="BG111" s="47">
        <f t="shared" si="41"/>
        <v>1681336</v>
      </c>
      <c r="BH111" s="8">
        <f t="shared" si="45"/>
        <v>328587</v>
      </c>
      <c r="BI111" s="8">
        <f t="shared" si="37"/>
        <v>118878</v>
      </c>
      <c r="BJ111" s="8">
        <f t="shared" si="42"/>
        <v>447465</v>
      </c>
      <c r="BK111" s="82">
        <f t="shared" si="43"/>
        <v>1681336</v>
      </c>
      <c r="BL111" s="74"/>
      <c r="BM111" s="74">
        <f t="shared" si="38"/>
        <v>328587</v>
      </c>
      <c r="BN111" s="74"/>
      <c r="BO111" s="157">
        <f t="shared" si="39"/>
        <v>118878</v>
      </c>
      <c r="BP111" s="157">
        <f t="shared" si="44"/>
        <v>1681336</v>
      </c>
      <c r="BQ111" s="8"/>
    </row>
    <row r="112" spans="1:72" x14ac:dyDescent="0.25">
      <c r="B112" s="35" t="s">
        <v>99</v>
      </c>
      <c r="C112" s="74">
        <f>SUM(C61)</f>
        <v>0</v>
      </c>
      <c r="D112" s="74">
        <f>SUM(D61)</f>
        <v>0</v>
      </c>
      <c r="E112" s="74">
        <f>SUM(E61)</f>
        <v>0</v>
      </c>
      <c r="F112" s="74">
        <f>SUM(F61)</f>
        <v>0</v>
      </c>
      <c r="G112" s="74">
        <f>SUM(G61)</f>
        <v>0</v>
      </c>
      <c r="H112" s="74">
        <f>SUM(H61)</f>
        <v>0</v>
      </c>
      <c r="I112" s="74">
        <f>SUM(I61)</f>
        <v>0</v>
      </c>
      <c r="J112" s="74">
        <f>SUM(J61)</f>
        <v>0</v>
      </c>
      <c r="K112" s="74">
        <f>SUM(K61)</f>
        <v>0</v>
      </c>
      <c r="L112" s="74">
        <f>SUM(L61)</f>
        <v>0</v>
      </c>
      <c r="M112" s="74"/>
      <c r="N112" s="74">
        <f>SUM(N61)</f>
        <v>72000</v>
      </c>
      <c r="O112" s="74">
        <f>SUM(O61)</f>
        <v>0</v>
      </c>
      <c r="P112" s="74">
        <f>SUM(P61)</f>
        <v>0</v>
      </c>
      <c r="Q112" s="74">
        <f>SUM(Q61)</f>
        <v>0</v>
      </c>
      <c r="R112" s="74">
        <f>SUM(R61)</f>
        <v>105448</v>
      </c>
      <c r="S112" s="74">
        <f>SUM(S61)</f>
        <v>0</v>
      </c>
      <c r="T112" s="74">
        <f>SUM(T61)</f>
        <v>25768</v>
      </c>
      <c r="U112" s="74">
        <f>SUM(U61)</f>
        <v>0</v>
      </c>
      <c r="V112" s="74">
        <f>SUM(V61)</f>
        <v>348980</v>
      </c>
      <c r="W112" s="74">
        <f>SUM(W61)</f>
        <v>0</v>
      </c>
      <c r="X112" s="74">
        <f>SUM(X61)</f>
        <v>0</v>
      </c>
      <c r="Y112" s="74">
        <f>SUM(Y61)</f>
        <v>0</v>
      </c>
      <c r="Z112" s="74">
        <f>SUM(Z61)</f>
        <v>0</v>
      </c>
      <c r="AA112" s="74">
        <f>SUM(AA61)</f>
        <v>0</v>
      </c>
      <c r="AB112" s="74">
        <f>SUM(AB61)</f>
        <v>0</v>
      </c>
      <c r="AC112" s="74">
        <f>SUM(AC61)</f>
        <v>0</v>
      </c>
      <c r="AD112" s="74">
        <f>SUM(AD61)</f>
        <v>0</v>
      </c>
      <c r="AE112" s="74">
        <f>SUM(AE61)</f>
        <v>0</v>
      </c>
      <c r="AF112" s="74">
        <f>SUM(AF61)</f>
        <v>0</v>
      </c>
      <c r="AG112" s="74">
        <f>SUM(AG61)</f>
        <v>0</v>
      </c>
      <c r="AH112" s="74">
        <f>SUM(AH61)</f>
        <v>0</v>
      </c>
      <c r="AI112" s="74">
        <f>SUM(AI61)</f>
        <v>0</v>
      </c>
      <c r="AJ112" s="74">
        <f>SUM(AJ61)</f>
        <v>0</v>
      </c>
      <c r="AK112" s="74">
        <f>SUM(AK61)</f>
        <v>0</v>
      </c>
      <c r="AL112" s="74">
        <f>SUM(AL61)</f>
        <v>24000</v>
      </c>
      <c r="AM112" s="74">
        <f>SUM(AM61)</f>
        <v>0</v>
      </c>
      <c r="AN112" s="74">
        <f>SUM(AN61)</f>
        <v>1200</v>
      </c>
      <c r="AO112" s="74">
        <f>SUM(AO61)</f>
        <v>0</v>
      </c>
      <c r="AP112" s="74">
        <f>SUM(AP61)</f>
        <v>75000</v>
      </c>
      <c r="AQ112" s="74">
        <f>SUM(AQ61)</f>
        <v>0</v>
      </c>
      <c r="AR112" s="74">
        <f>SUM(AR61)</f>
        <v>0</v>
      </c>
      <c r="AS112" s="74">
        <f>SUM(AS61)</f>
        <v>0</v>
      </c>
      <c r="AT112" s="74">
        <f>SUM(AT61)</f>
        <v>0</v>
      </c>
      <c r="AU112" s="74">
        <f>SUM(AU61)</f>
        <v>0</v>
      </c>
      <c r="AV112" s="74">
        <f>SUM(AV61)</f>
        <v>0</v>
      </c>
      <c r="AW112" s="74">
        <f>SUM(AW61)</f>
        <v>0</v>
      </c>
      <c r="AX112" s="74">
        <f>SUM(AX61)</f>
        <v>652396</v>
      </c>
      <c r="AY112" s="74"/>
      <c r="AZ112" s="74">
        <f>SUM(AZ61)</f>
        <v>10080143</v>
      </c>
      <c r="BA112" s="74"/>
      <c r="BB112" s="74">
        <f t="shared" si="35"/>
        <v>10732539</v>
      </c>
      <c r="BC112" s="7"/>
      <c r="BD112" s="126">
        <f t="shared" si="36"/>
        <v>0</v>
      </c>
      <c r="BE112" s="126">
        <f t="shared" si="40"/>
        <v>652396</v>
      </c>
      <c r="BF112" s="7"/>
      <c r="BG112" s="47">
        <f t="shared" si="41"/>
        <v>10732539</v>
      </c>
      <c r="BH112" s="8">
        <f t="shared" si="45"/>
        <v>652396</v>
      </c>
      <c r="BI112" s="8">
        <f t="shared" si="37"/>
        <v>0</v>
      </c>
      <c r="BJ112" s="8">
        <f t="shared" si="42"/>
        <v>652396</v>
      </c>
      <c r="BK112" s="82">
        <f t="shared" si="43"/>
        <v>10732539</v>
      </c>
      <c r="BL112" s="74"/>
      <c r="BM112" s="74">
        <f t="shared" si="38"/>
        <v>652396</v>
      </c>
      <c r="BN112" s="74"/>
      <c r="BO112" s="157">
        <f t="shared" si="39"/>
        <v>0</v>
      </c>
      <c r="BP112" s="157">
        <f t="shared" si="44"/>
        <v>10732539</v>
      </c>
      <c r="BQ112" s="8"/>
    </row>
    <row r="113" spans="2:69" x14ac:dyDescent="0.25">
      <c r="B113" s="35" t="s">
        <v>145</v>
      </c>
      <c r="C113" s="74">
        <f>SUM(C62:C69)</f>
        <v>65540</v>
      </c>
      <c r="D113" s="74">
        <f>SUM(D62:D69)</f>
        <v>1750</v>
      </c>
      <c r="E113" s="74">
        <f>SUM(E62:E69)</f>
        <v>31100</v>
      </c>
      <c r="F113" s="74">
        <f>SUM(F62:F69)</f>
        <v>30689</v>
      </c>
      <c r="G113" s="74">
        <f>SUM(G62:G69)</f>
        <v>27960</v>
      </c>
      <c r="H113" s="74">
        <f>SUM(H62:H69)</f>
        <v>16965</v>
      </c>
      <c r="I113" s="74">
        <f>SUM(I62:I69)</f>
        <v>0</v>
      </c>
      <c r="J113" s="74">
        <f>SUM(J62:J69)</f>
        <v>29800</v>
      </c>
      <c r="K113" s="74">
        <f>SUM(K62:K69)</f>
        <v>8200</v>
      </c>
      <c r="L113" s="74">
        <f>SUM(L62:L69)</f>
        <v>212004</v>
      </c>
      <c r="M113" s="74"/>
      <c r="N113" s="74">
        <f>SUM(N62:N69)</f>
        <v>0</v>
      </c>
      <c r="O113" s="74">
        <f>SUM(O62:O69)</f>
        <v>0</v>
      </c>
      <c r="P113" s="74">
        <f>SUM(P62:P69)</f>
        <v>0</v>
      </c>
      <c r="Q113" s="74">
        <f>SUM(Q62:Q69)</f>
        <v>0</v>
      </c>
      <c r="R113" s="74">
        <f>SUM(R62:R69)</f>
        <v>6000</v>
      </c>
      <c r="S113" s="74">
        <f>SUM(S62:S69)</f>
        <v>0</v>
      </c>
      <c r="T113" s="74">
        <f>SUM(T62:T69)</f>
        <v>1500</v>
      </c>
      <c r="U113" s="74">
        <f>SUM(U62:U69)</f>
        <v>0</v>
      </c>
      <c r="V113" s="74">
        <f>SUM(V62:V69)</f>
        <v>0</v>
      </c>
      <c r="W113" s="74">
        <f>SUM(W62:W69)</f>
        <v>0</v>
      </c>
      <c r="X113" s="74">
        <f>SUM(X62:X69)</f>
        <v>0</v>
      </c>
      <c r="Y113" s="74">
        <f>SUM(Y62:Y69)</f>
        <v>19035</v>
      </c>
      <c r="Z113" s="74">
        <f>SUM(Z62:Z69)</f>
        <v>12440</v>
      </c>
      <c r="AA113" s="74">
        <f>SUM(AA62:AA69)</f>
        <v>0</v>
      </c>
      <c r="AB113" s="74">
        <f>SUM(AB62:AB69)</f>
        <v>0</v>
      </c>
      <c r="AC113" s="74">
        <f>SUM(AC62:AC69)</f>
        <v>0</v>
      </c>
      <c r="AD113" s="74">
        <f>SUM(AD62:AD69)</f>
        <v>0</v>
      </c>
      <c r="AE113" s="74">
        <f>SUM(AE62:AE69)</f>
        <v>0</v>
      </c>
      <c r="AF113" s="74">
        <f>SUM(AF62:AF69)</f>
        <v>0</v>
      </c>
      <c r="AG113" s="74">
        <f>SUM(AG62:AG69)</f>
        <v>0</v>
      </c>
      <c r="AH113" s="74">
        <f>SUM(AH62:AH69)</f>
        <v>0</v>
      </c>
      <c r="AI113" s="74">
        <f>SUM(AI62:AI69)</f>
        <v>0</v>
      </c>
      <c r="AJ113" s="74">
        <f>SUM(AJ62:AJ69)</f>
        <v>0</v>
      </c>
      <c r="AK113" s="74">
        <f>SUM(AK62:AK69)</f>
        <v>0</v>
      </c>
      <c r="AL113" s="74">
        <f>SUM(AL62:AL69)</f>
        <v>0</v>
      </c>
      <c r="AM113" s="74">
        <f>SUM(AM62:AM69)</f>
        <v>0</v>
      </c>
      <c r="AN113" s="74">
        <f>SUM(AN62:AN69)</f>
        <v>0</v>
      </c>
      <c r="AO113" s="74">
        <f>SUM(AO62:AO69)</f>
        <v>0</v>
      </c>
      <c r="AP113" s="74">
        <f>SUM(AP62:AP69)</f>
        <v>0</v>
      </c>
      <c r="AQ113" s="74">
        <f>SUM(AQ62:AQ69)</f>
        <v>0</v>
      </c>
      <c r="AR113" s="74">
        <f>SUM(AR62:AR69)</f>
        <v>0</v>
      </c>
      <c r="AS113" s="74">
        <f>SUM(AS62:AS69)</f>
        <v>4200</v>
      </c>
      <c r="AT113" s="74">
        <f>SUM(AT62:AT69)</f>
        <v>0</v>
      </c>
      <c r="AU113" s="74">
        <f>SUM(AU62:AU69)</f>
        <v>16200</v>
      </c>
      <c r="AV113" s="74">
        <f>SUM(AV62:AV69)</f>
        <v>60</v>
      </c>
      <c r="AW113" s="74">
        <f>SUM(AW62:AW69)</f>
        <v>15000</v>
      </c>
      <c r="AX113" s="74">
        <f>SUM(AX62:AX69)</f>
        <v>74435</v>
      </c>
      <c r="AY113" s="74"/>
      <c r="AZ113" s="74">
        <f>SUM(AZ62:AZ69)</f>
        <v>9300</v>
      </c>
      <c r="BA113" s="74"/>
      <c r="BB113" s="74">
        <f t="shared" si="35"/>
        <v>295739</v>
      </c>
      <c r="BC113" s="7"/>
      <c r="BD113" s="126">
        <f t="shared" si="36"/>
        <v>54435</v>
      </c>
      <c r="BE113" s="126">
        <f t="shared" si="40"/>
        <v>20000</v>
      </c>
      <c r="BF113" s="7"/>
      <c r="BG113" s="47">
        <f t="shared" si="41"/>
        <v>241304</v>
      </c>
      <c r="BH113" s="8">
        <f t="shared" si="45"/>
        <v>20000</v>
      </c>
      <c r="BI113" s="8">
        <f t="shared" si="37"/>
        <v>54435</v>
      </c>
      <c r="BJ113" s="8">
        <f t="shared" si="42"/>
        <v>74435</v>
      </c>
      <c r="BK113" s="82">
        <f t="shared" si="43"/>
        <v>241304</v>
      </c>
      <c r="BL113" s="74"/>
      <c r="BM113" s="74">
        <f t="shared" si="38"/>
        <v>20000</v>
      </c>
      <c r="BN113" s="74"/>
      <c r="BO113" s="157">
        <f t="shared" si="39"/>
        <v>54435</v>
      </c>
      <c r="BP113" s="157">
        <f t="shared" si="44"/>
        <v>241304</v>
      </c>
      <c r="BQ113" s="8"/>
    </row>
    <row r="114" spans="2:69" x14ac:dyDescent="0.25">
      <c r="B114" s="35" t="s">
        <v>146</v>
      </c>
      <c r="C114" s="74">
        <f>SUM(C70)</f>
        <v>0</v>
      </c>
      <c r="D114" s="74">
        <f>SUM(D70)</f>
        <v>127800</v>
      </c>
      <c r="E114" s="74">
        <f>SUM(E70)</f>
        <v>0</v>
      </c>
      <c r="F114" s="74">
        <f>SUM(F70)</f>
        <v>0</v>
      </c>
      <c r="G114" s="74">
        <f>SUM(G70)</f>
        <v>0</v>
      </c>
      <c r="H114" s="74">
        <f>SUM(H70)</f>
        <v>3600</v>
      </c>
      <c r="I114" s="74">
        <f>SUM(I70)</f>
        <v>0</v>
      </c>
      <c r="J114" s="74">
        <f>SUM(J70)</f>
        <v>0</v>
      </c>
      <c r="K114" s="74">
        <f>SUM(K70)</f>
        <v>0</v>
      </c>
      <c r="L114" s="74">
        <f>SUM(L70)</f>
        <v>131400</v>
      </c>
      <c r="M114" s="74"/>
      <c r="N114" s="74">
        <f>SUM(N70)</f>
        <v>0</v>
      </c>
      <c r="O114" s="74">
        <f>SUM(O70)</f>
        <v>0</v>
      </c>
      <c r="P114" s="74">
        <f>SUM(P70)</f>
        <v>0</v>
      </c>
      <c r="Q114" s="74">
        <f>SUM(Q70)</f>
        <v>0</v>
      </c>
      <c r="R114" s="74">
        <f>SUM(R70)</f>
        <v>0</v>
      </c>
      <c r="S114" s="74">
        <f>SUM(S70)</f>
        <v>0</v>
      </c>
      <c r="T114" s="74">
        <f>SUM(T70)</f>
        <v>0</v>
      </c>
      <c r="U114" s="74">
        <f>SUM(U70)</f>
        <v>0</v>
      </c>
      <c r="V114" s="74">
        <f>SUM(V70)</f>
        <v>0</v>
      </c>
      <c r="W114" s="74">
        <f>SUM(W70)</f>
        <v>0</v>
      </c>
      <c r="X114" s="74">
        <f>SUM(X70)</f>
        <v>2472</v>
      </c>
      <c r="Y114" s="74">
        <f>SUM(Y70)</f>
        <v>0</v>
      </c>
      <c r="Z114" s="74">
        <f>SUM(Z70)</f>
        <v>0</v>
      </c>
      <c r="AA114" s="74">
        <f>SUM(AA70)</f>
        <v>0</v>
      </c>
      <c r="AB114" s="74">
        <f>SUM(AB70)</f>
        <v>0</v>
      </c>
      <c r="AC114" s="74">
        <f>SUM(AC70)</f>
        <v>0</v>
      </c>
      <c r="AD114" s="74">
        <f>SUM(AD70)</f>
        <v>0</v>
      </c>
      <c r="AE114" s="74">
        <f>SUM(AE70)</f>
        <v>0</v>
      </c>
      <c r="AF114" s="74">
        <f>SUM(AF70)</f>
        <v>0</v>
      </c>
      <c r="AG114" s="74">
        <f>SUM(AG70)</f>
        <v>0</v>
      </c>
      <c r="AH114" s="74">
        <f>SUM(AH70)</f>
        <v>0</v>
      </c>
      <c r="AI114" s="74">
        <f>SUM(AI70)</f>
        <v>0</v>
      </c>
      <c r="AJ114" s="74">
        <f>SUM(AJ70)</f>
        <v>0</v>
      </c>
      <c r="AK114" s="74">
        <f>SUM(AK70)</f>
        <v>0</v>
      </c>
      <c r="AL114" s="74">
        <f>SUM(AL70)</f>
        <v>0</v>
      </c>
      <c r="AM114" s="74">
        <f>SUM(AM70)</f>
        <v>0</v>
      </c>
      <c r="AN114" s="74">
        <f>SUM(AN70)</f>
        <v>0</v>
      </c>
      <c r="AO114" s="74">
        <f>SUM(AO70)</f>
        <v>0</v>
      </c>
      <c r="AP114" s="74">
        <f>SUM(AP70)</f>
        <v>100516</v>
      </c>
      <c r="AQ114" s="74">
        <f>SUM(AQ70)</f>
        <v>0</v>
      </c>
      <c r="AR114" s="74">
        <f>SUM(AR70)</f>
        <v>1680</v>
      </c>
      <c r="AS114" s="74">
        <f>SUM(AS70)</f>
        <v>0</v>
      </c>
      <c r="AT114" s="74">
        <f>SUM(AT70)</f>
        <v>0</v>
      </c>
      <c r="AU114" s="74">
        <f>SUM(AU70)</f>
        <v>0</v>
      </c>
      <c r="AV114" s="74">
        <f>SUM(AV70)</f>
        <v>0</v>
      </c>
      <c r="AW114" s="74">
        <f>SUM(AW70)</f>
        <v>0</v>
      </c>
      <c r="AX114" s="74">
        <f>SUM(AX70)</f>
        <v>104668</v>
      </c>
      <c r="AY114" s="74"/>
      <c r="AZ114" s="74">
        <f>SUM(AZ70)</f>
        <v>2400</v>
      </c>
      <c r="BA114" s="74"/>
      <c r="BB114" s="74">
        <f t="shared" si="35"/>
        <v>238468</v>
      </c>
      <c r="BC114" s="7"/>
      <c r="BD114" s="126">
        <f t="shared" si="36"/>
        <v>0</v>
      </c>
      <c r="BE114" s="126">
        <f t="shared" si="40"/>
        <v>104668</v>
      </c>
      <c r="BF114" s="7"/>
      <c r="BG114" s="47">
        <f t="shared" si="41"/>
        <v>238468</v>
      </c>
      <c r="BH114" s="8">
        <f t="shared" si="45"/>
        <v>104668</v>
      </c>
      <c r="BI114" s="8">
        <f t="shared" si="37"/>
        <v>0</v>
      </c>
      <c r="BJ114" s="8">
        <f t="shared" si="42"/>
        <v>104668</v>
      </c>
      <c r="BK114" s="82">
        <f t="shared" si="43"/>
        <v>238468</v>
      </c>
      <c r="BL114" s="74"/>
      <c r="BM114" s="74">
        <f t="shared" si="38"/>
        <v>104668</v>
      </c>
      <c r="BN114" s="74"/>
      <c r="BO114" s="157">
        <f t="shared" si="39"/>
        <v>0</v>
      </c>
      <c r="BP114" s="157">
        <f t="shared" si="44"/>
        <v>238468</v>
      </c>
      <c r="BQ114" s="8"/>
    </row>
    <row r="115" spans="2:69" x14ac:dyDescent="0.25">
      <c r="B115" s="35" t="s">
        <v>147</v>
      </c>
      <c r="C115" s="74">
        <f>SUM(C71:C78)</f>
        <v>0</v>
      </c>
      <c r="D115" s="74">
        <f>SUM(D71:D78)</f>
        <v>70000</v>
      </c>
      <c r="E115" s="74">
        <f>SUM(E71:E78)</f>
        <v>0</v>
      </c>
      <c r="F115" s="74">
        <f>SUM(F71:F78)</f>
        <v>0</v>
      </c>
      <c r="G115" s="74">
        <f>SUM(G71:G78)</f>
        <v>0</v>
      </c>
      <c r="H115" s="74">
        <f>SUM(H71:H78)</f>
        <v>0</v>
      </c>
      <c r="I115" s="74">
        <f>SUM(I71:I78)</f>
        <v>0</v>
      </c>
      <c r="J115" s="74">
        <f>SUM(J71:J78)</f>
        <v>0</v>
      </c>
      <c r="K115" s="74">
        <f>SUM(K71:K78)</f>
        <v>0</v>
      </c>
      <c r="L115" s="74">
        <f>SUM(L71:L78)</f>
        <v>70000</v>
      </c>
      <c r="M115" s="74"/>
      <c r="N115" s="74">
        <f>SUM(N71:N78)</f>
        <v>0</v>
      </c>
      <c r="O115" s="74">
        <f>SUM(O71:O78)</f>
        <v>0</v>
      </c>
      <c r="P115" s="74">
        <f>SUM(P71:P78)</f>
        <v>0</v>
      </c>
      <c r="Q115" s="74">
        <f>SUM(Q71:Q78)</f>
        <v>0</v>
      </c>
      <c r="R115" s="74">
        <f>SUM(R71:R78)</f>
        <v>0</v>
      </c>
      <c r="S115" s="74">
        <f>SUM(S71:S78)</f>
        <v>0</v>
      </c>
      <c r="T115" s="74">
        <f>SUM(T71:T78)</f>
        <v>0</v>
      </c>
      <c r="U115" s="74">
        <f>SUM(U71:U78)</f>
        <v>0</v>
      </c>
      <c r="V115" s="74">
        <f>SUM(V71:V78)</f>
        <v>0</v>
      </c>
      <c r="W115" s="74">
        <f>SUM(W71:W78)</f>
        <v>0</v>
      </c>
      <c r="X115" s="74">
        <f>SUM(X71:X78)</f>
        <v>1382069</v>
      </c>
      <c r="Y115" s="74">
        <f>SUM(Y71:Y78)</f>
        <v>0</v>
      </c>
      <c r="Z115" s="74">
        <f>SUM(Z71:Z78)</f>
        <v>0</v>
      </c>
      <c r="AA115" s="74">
        <f>SUM(AA71:AA78)</f>
        <v>0</v>
      </c>
      <c r="AB115" s="74">
        <f>SUM(AB71:AB78)</f>
        <v>0</v>
      </c>
      <c r="AC115" s="74">
        <f>SUM(AC71:AC78)</f>
        <v>0</v>
      </c>
      <c r="AD115" s="74">
        <f>SUM(AD71:AD78)</f>
        <v>0</v>
      </c>
      <c r="AE115" s="74">
        <f>SUM(AE71:AE78)</f>
        <v>0</v>
      </c>
      <c r="AF115" s="74">
        <f>SUM(AF71:AF78)</f>
        <v>0</v>
      </c>
      <c r="AG115" s="74">
        <f>SUM(AG71:AG78)</f>
        <v>0</v>
      </c>
      <c r="AH115" s="74">
        <f>SUM(AH71:AH78)</f>
        <v>0</v>
      </c>
      <c r="AI115" s="74">
        <f>SUM(AI71:AI78)</f>
        <v>0</v>
      </c>
      <c r="AJ115" s="74">
        <f>SUM(AJ71:AJ78)</f>
        <v>0</v>
      </c>
      <c r="AK115" s="74">
        <f>SUM(AK71:AK78)</f>
        <v>0</v>
      </c>
      <c r="AL115" s="74">
        <f>SUM(AL71:AL78)</f>
        <v>0</v>
      </c>
      <c r="AM115" s="74">
        <f>SUM(AM71:AM78)</f>
        <v>0</v>
      </c>
      <c r="AN115" s="74">
        <f>SUM(AN71:AN78)</f>
        <v>0</v>
      </c>
      <c r="AO115" s="74">
        <f>SUM(AO71:AO78)</f>
        <v>0</v>
      </c>
      <c r="AP115" s="74">
        <f>SUM(AP71:AP78)</f>
        <v>0</v>
      </c>
      <c r="AQ115" s="74">
        <f>SUM(AQ71:AQ78)</f>
        <v>0</v>
      </c>
      <c r="AR115" s="74">
        <f>SUM(AR71:AR78)</f>
        <v>0</v>
      </c>
      <c r="AS115" s="74">
        <f>SUM(AS71:AS78)</f>
        <v>0</v>
      </c>
      <c r="AT115" s="74">
        <f>SUM(AT71:AT78)</f>
        <v>0</v>
      </c>
      <c r="AU115" s="74">
        <f>SUM(AU71:AU78)</f>
        <v>0</v>
      </c>
      <c r="AV115" s="74">
        <f>SUM(AV71:AV78)</f>
        <v>0</v>
      </c>
      <c r="AW115" s="74">
        <f>SUM(AW71:AW78)</f>
        <v>0</v>
      </c>
      <c r="AX115" s="74">
        <f>SUM(AX71:AX78)</f>
        <v>1382069</v>
      </c>
      <c r="AY115" s="74"/>
      <c r="AZ115" s="74">
        <f>SUM(AZ71:AZ78)</f>
        <v>9037306</v>
      </c>
      <c r="BA115" s="74"/>
      <c r="BB115" s="74">
        <f t="shared" si="35"/>
        <v>10489375</v>
      </c>
      <c r="BC115" s="7"/>
      <c r="BD115" s="126">
        <f t="shared" si="36"/>
        <v>0</v>
      </c>
      <c r="BE115" s="126">
        <f t="shared" si="40"/>
        <v>1382069</v>
      </c>
      <c r="BF115" s="7"/>
      <c r="BG115" s="47">
        <f t="shared" si="41"/>
        <v>10489375</v>
      </c>
      <c r="BH115" s="8">
        <f t="shared" si="45"/>
        <v>1382069</v>
      </c>
      <c r="BI115" s="8">
        <f t="shared" si="37"/>
        <v>0</v>
      </c>
      <c r="BJ115" s="8">
        <f t="shared" si="42"/>
        <v>1382069</v>
      </c>
      <c r="BK115" s="82">
        <f t="shared" si="43"/>
        <v>10489375</v>
      </c>
      <c r="BL115" s="74"/>
      <c r="BM115" s="74">
        <f t="shared" si="38"/>
        <v>1382069</v>
      </c>
      <c r="BN115" s="74"/>
      <c r="BO115" s="157">
        <f t="shared" si="39"/>
        <v>0</v>
      </c>
      <c r="BP115" s="157">
        <f t="shared" si="44"/>
        <v>10489375</v>
      </c>
      <c r="BQ115" s="8"/>
    </row>
    <row r="116" spans="2:69" x14ac:dyDescent="0.25">
      <c r="B116" s="35" t="s">
        <v>138</v>
      </c>
      <c r="C116" s="107">
        <f>SUM(C107:C115)</f>
        <v>824012</v>
      </c>
      <c r="D116" s="107">
        <f>SUM(D107:D115)</f>
        <v>438298</v>
      </c>
      <c r="E116" s="107">
        <f t="shared" ref="E116:BB116" si="46">SUM(E107:E115)</f>
        <v>94585</v>
      </c>
      <c r="F116" s="107">
        <f t="shared" si="46"/>
        <v>1750971</v>
      </c>
      <c r="G116" s="107">
        <f t="shared" si="46"/>
        <v>1113199</v>
      </c>
      <c r="H116" s="107">
        <f t="shared" si="46"/>
        <v>759809</v>
      </c>
      <c r="I116" s="107">
        <f t="shared" si="46"/>
        <v>550412</v>
      </c>
      <c r="J116" s="107">
        <f t="shared" si="46"/>
        <v>202367</v>
      </c>
      <c r="K116" s="107">
        <f t="shared" si="46"/>
        <v>537476</v>
      </c>
      <c r="L116" s="107">
        <f t="shared" si="46"/>
        <v>6271129</v>
      </c>
      <c r="M116" s="74"/>
      <c r="N116" s="107">
        <f>SUM(N107:N115)</f>
        <v>499532</v>
      </c>
      <c r="O116" s="107">
        <f>SUM(O107:O115)</f>
        <v>1272514</v>
      </c>
      <c r="P116" s="107">
        <f>SUM(P107:P115)</f>
        <v>0</v>
      </c>
      <c r="Q116" s="107">
        <f>SUM(Q107:Q115)</f>
        <v>0</v>
      </c>
      <c r="R116" s="107">
        <f t="shared" ref="R116:Z116" si="47">SUM(R107:R115)</f>
        <v>174474</v>
      </c>
      <c r="S116" s="107">
        <f t="shared" si="47"/>
        <v>133460</v>
      </c>
      <c r="T116" s="107">
        <f t="shared" si="47"/>
        <v>34521</v>
      </c>
      <c r="U116" s="107">
        <f t="shared" si="47"/>
        <v>16046</v>
      </c>
      <c r="V116" s="107">
        <f t="shared" si="47"/>
        <v>348980</v>
      </c>
      <c r="W116" s="107">
        <f t="shared" ref="W116" si="48">SUM(W107:W115)</f>
        <v>0</v>
      </c>
      <c r="X116" s="107">
        <f t="shared" si="47"/>
        <v>2310741</v>
      </c>
      <c r="Y116" s="107">
        <f t="shared" si="47"/>
        <v>657727</v>
      </c>
      <c r="Z116" s="107">
        <f t="shared" si="47"/>
        <v>385550</v>
      </c>
      <c r="AA116" s="107">
        <f t="shared" si="46"/>
        <v>0</v>
      </c>
      <c r="AB116" s="107">
        <f t="shared" si="46"/>
        <v>434062</v>
      </c>
      <c r="AC116" s="107">
        <f t="shared" si="46"/>
        <v>1400820</v>
      </c>
      <c r="AD116" s="107">
        <f t="shared" si="46"/>
        <v>0</v>
      </c>
      <c r="AE116" s="107">
        <f t="shared" si="46"/>
        <v>0</v>
      </c>
      <c r="AF116" s="107">
        <f t="shared" si="46"/>
        <v>240841</v>
      </c>
      <c r="AG116" s="107">
        <f t="shared" si="46"/>
        <v>893306</v>
      </c>
      <c r="AH116" s="107">
        <f t="shared" si="46"/>
        <v>0</v>
      </c>
      <c r="AI116" s="107">
        <f t="shared" si="46"/>
        <v>0</v>
      </c>
      <c r="AJ116" s="107">
        <f t="shared" si="46"/>
        <v>135024</v>
      </c>
      <c r="AK116" s="107">
        <f t="shared" si="46"/>
        <v>305120</v>
      </c>
      <c r="AL116" s="107">
        <f t="shared" si="46"/>
        <v>41201</v>
      </c>
      <c r="AM116" s="107">
        <f t="shared" si="46"/>
        <v>34016</v>
      </c>
      <c r="AN116" s="107">
        <f t="shared" si="46"/>
        <v>154869</v>
      </c>
      <c r="AO116" s="107">
        <f t="shared" si="46"/>
        <v>300401</v>
      </c>
      <c r="AP116" s="107">
        <f t="shared" si="46"/>
        <v>230463</v>
      </c>
      <c r="AQ116" s="107">
        <f t="shared" si="46"/>
        <v>137560</v>
      </c>
      <c r="AR116" s="107">
        <f t="shared" si="46"/>
        <v>132744</v>
      </c>
      <c r="AS116" s="107">
        <f t="shared" si="46"/>
        <v>580194</v>
      </c>
      <c r="AT116" s="107">
        <f t="shared" si="46"/>
        <v>35580</v>
      </c>
      <c r="AU116" s="107">
        <f t="shared" si="46"/>
        <v>1023619</v>
      </c>
      <c r="AV116" s="107">
        <f t="shared" si="46"/>
        <v>1003251</v>
      </c>
      <c r="AW116" s="107">
        <f t="shared" si="46"/>
        <v>1273056</v>
      </c>
      <c r="AX116" s="107">
        <f t="shared" si="46"/>
        <v>14189672</v>
      </c>
      <c r="AY116" s="74"/>
      <c r="AZ116" s="107">
        <f t="shared" si="46"/>
        <v>22523633</v>
      </c>
      <c r="BA116" s="74"/>
      <c r="BB116" s="107">
        <f t="shared" si="46"/>
        <v>42984434</v>
      </c>
      <c r="BC116" s="7"/>
      <c r="BD116" s="127">
        <f t="shared" si="36"/>
        <v>8027839</v>
      </c>
      <c r="BE116" s="127">
        <f>SUM(BE107:BE115)</f>
        <v>6161833</v>
      </c>
      <c r="BF116" s="7"/>
      <c r="BG116" s="48">
        <f>SUM(BG107:BG115)</f>
        <v>34956595</v>
      </c>
      <c r="BH116" s="8">
        <f>SUM(BH107:BH115)</f>
        <v>6161833</v>
      </c>
      <c r="BI116" s="8">
        <f t="shared" ref="BI116:BJ116" si="49">SUM(BI107:BI115)</f>
        <v>8027839</v>
      </c>
      <c r="BJ116" s="8">
        <f t="shared" si="49"/>
        <v>14189672</v>
      </c>
      <c r="BK116" s="82">
        <f t="shared" si="43"/>
        <v>34956595</v>
      </c>
      <c r="BL116" s="107"/>
      <c r="BM116" s="107">
        <f>SUM(BM107:BM115)</f>
        <v>6161833</v>
      </c>
      <c r="BN116" s="107"/>
      <c r="BO116" s="158">
        <f>SUM(BO107:BO115)</f>
        <v>8027839</v>
      </c>
      <c r="BP116" s="158">
        <f>SUM(BP107:BP115)</f>
        <v>34956595</v>
      </c>
      <c r="BQ116" s="8"/>
    </row>
    <row r="117" spans="2:69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L117" s="7"/>
      <c r="BM117" s="7"/>
      <c r="BN117" s="7"/>
      <c r="BQ117" s="8"/>
    </row>
    <row r="118" spans="2:69" s="43" customFormat="1" ht="40.200000000000003" hidden="1" customHeight="1" x14ac:dyDescent="0.25">
      <c r="B118" s="49" t="s">
        <v>148</v>
      </c>
      <c r="C118" s="50" t="s">
        <v>149</v>
      </c>
      <c r="D118" s="51" t="s">
        <v>150</v>
      </c>
      <c r="E118" s="50" t="s">
        <v>151</v>
      </c>
      <c r="F118" s="51" t="s">
        <v>152</v>
      </c>
      <c r="G118" s="51" t="s">
        <v>153</v>
      </c>
      <c r="H118" s="51" t="s">
        <v>154</v>
      </c>
      <c r="I118" s="51" t="s">
        <v>155</v>
      </c>
      <c r="J118" s="51" t="s">
        <v>156</v>
      </c>
      <c r="K118" s="51" t="s">
        <v>157</v>
      </c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 t="s">
        <v>158</v>
      </c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2" t="s">
        <v>159</v>
      </c>
      <c r="BA118" s="53"/>
      <c r="BB118" s="53"/>
      <c r="BC118" s="53"/>
      <c r="BD118" s="128"/>
      <c r="BE118" s="128"/>
      <c r="BF118" s="53"/>
      <c r="BG118" s="38"/>
      <c r="BH118" s="38"/>
      <c r="BI118" s="38"/>
      <c r="BL118" s="50"/>
      <c r="BM118" s="50"/>
      <c r="BN118" s="153"/>
      <c r="BO118" s="149"/>
      <c r="BP118" s="149"/>
      <c r="BQ118" s="53"/>
    </row>
    <row r="119" spans="2:69" ht="40.200000000000003" hidden="1" customHeight="1" x14ac:dyDescent="0.25">
      <c r="B119" s="54"/>
      <c r="D119" s="53" t="s">
        <v>160</v>
      </c>
      <c r="E119" s="55"/>
      <c r="F119" s="56" t="s">
        <v>161</v>
      </c>
      <c r="G119" s="56" t="s">
        <v>162</v>
      </c>
      <c r="H119" s="56" t="s">
        <v>163</v>
      </c>
      <c r="I119" s="57"/>
      <c r="J119" s="57"/>
      <c r="K119" s="56" t="s">
        <v>164</v>
      </c>
      <c r="L119" s="58"/>
      <c r="M119" s="59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9" t="s">
        <v>165</v>
      </c>
      <c r="AZ119" s="60" t="s">
        <v>166</v>
      </c>
      <c r="BG119" s="38"/>
      <c r="BH119" s="38"/>
      <c r="BI119" s="38"/>
      <c r="BQ119" s="8"/>
    </row>
    <row r="120" spans="2:69" ht="40.200000000000003" hidden="1" customHeight="1" x14ac:dyDescent="0.25">
      <c r="B120" s="54"/>
      <c r="D120" s="55"/>
      <c r="E120" s="55"/>
      <c r="F120" s="56" t="s">
        <v>167</v>
      </c>
      <c r="G120" s="56" t="s">
        <v>168</v>
      </c>
      <c r="H120" s="56" t="s">
        <v>169</v>
      </c>
      <c r="I120" s="57"/>
      <c r="J120" s="57"/>
      <c r="K120" s="56" t="s">
        <v>170</v>
      </c>
      <c r="L120" s="58"/>
      <c r="M120" s="59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9" t="s">
        <v>171</v>
      </c>
      <c r="AZ120" s="60" t="s">
        <v>172</v>
      </c>
      <c r="BG120" s="38"/>
      <c r="BH120" s="38"/>
      <c r="BI120" s="38"/>
      <c r="BQ120" s="8"/>
    </row>
    <row r="121" spans="2:69" ht="40.200000000000003" hidden="1" customHeight="1" x14ac:dyDescent="0.25">
      <c r="B121" s="54"/>
      <c r="D121" s="55"/>
      <c r="E121" s="55"/>
      <c r="F121" s="56" t="s">
        <v>173</v>
      </c>
      <c r="G121" s="56" t="s">
        <v>174</v>
      </c>
      <c r="H121" s="56" t="s">
        <v>175</v>
      </c>
      <c r="I121" s="57"/>
      <c r="J121" s="57"/>
      <c r="K121" s="57"/>
      <c r="L121" s="58"/>
      <c r="M121" s="59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9" t="s">
        <v>176</v>
      </c>
      <c r="AZ121" s="60" t="s">
        <v>177</v>
      </c>
      <c r="BG121" s="38"/>
      <c r="BH121" s="38"/>
      <c r="BI121" s="38"/>
      <c r="BJ121" s="38"/>
      <c r="BK121" s="38"/>
      <c r="BQ121" s="8"/>
    </row>
    <row r="122" spans="2:69" ht="40.200000000000003" hidden="1" customHeight="1" x14ac:dyDescent="0.25">
      <c r="B122" s="54"/>
      <c r="D122" s="55"/>
      <c r="E122" s="55"/>
      <c r="F122" s="56" t="s">
        <v>178</v>
      </c>
      <c r="G122" s="56" t="s">
        <v>179</v>
      </c>
      <c r="H122" s="56" t="s">
        <v>180</v>
      </c>
      <c r="I122" s="57"/>
      <c r="J122" s="57"/>
      <c r="K122" s="57"/>
      <c r="L122" s="58"/>
      <c r="M122" s="59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9" t="s">
        <v>176</v>
      </c>
      <c r="AZ122" s="61"/>
      <c r="BJ122" s="38"/>
      <c r="BK122" s="38"/>
      <c r="BO122" s="150"/>
      <c r="BP122" s="150"/>
      <c r="BQ122" s="38"/>
    </row>
    <row r="123" spans="2:69" ht="40.200000000000003" hidden="1" customHeight="1" x14ac:dyDescent="0.25">
      <c r="B123" s="54"/>
      <c r="D123" s="55"/>
      <c r="E123" s="55"/>
      <c r="F123" s="56" t="s">
        <v>181</v>
      </c>
      <c r="G123" s="56" t="s">
        <v>182</v>
      </c>
      <c r="H123" s="56" t="s">
        <v>183</v>
      </c>
      <c r="I123" s="57"/>
      <c r="J123" s="57"/>
      <c r="K123" s="57"/>
      <c r="L123" s="58"/>
      <c r="M123" s="59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9" t="s">
        <v>184</v>
      </c>
      <c r="AZ123" s="61"/>
      <c r="BJ123" s="38"/>
      <c r="BK123" s="38"/>
      <c r="BO123" s="150"/>
      <c r="BP123" s="150"/>
      <c r="BQ123" s="38"/>
    </row>
    <row r="124" spans="2:69" ht="40.200000000000003" hidden="1" customHeight="1" x14ac:dyDescent="0.25">
      <c r="B124" s="54"/>
      <c r="D124" s="55"/>
      <c r="E124" s="55"/>
      <c r="F124" s="56" t="s">
        <v>185</v>
      </c>
      <c r="G124" s="57"/>
      <c r="H124" s="56" t="s">
        <v>186</v>
      </c>
      <c r="I124" s="57"/>
      <c r="J124" s="57"/>
      <c r="K124" s="57"/>
      <c r="L124" s="58"/>
      <c r="M124" s="59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9" t="s">
        <v>187</v>
      </c>
      <c r="AZ124" s="61"/>
      <c r="BJ124" s="38"/>
      <c r="BK124" s="38"/>
      <c r="BO124" s="150"/>
      <c r="BP124" s="150"/>
      <c r="BQ124" s="38"/>
    </row>
    <row r="125" spans="2:69" ht="40.200000000000003" hidden="1" customHeight="1" x14ac:dyDescent="0.25">
      <c r="B125" s="54"/>
      <c r="D125" s="55"/>
      <c r="E125" s="55"/>
      <c r="F125" s="56" t="s">
        <v>188</v>
      </c>
      <c r="G125" s="57"/>
      <c r="H125" s="56" t="s">
        <v>163</v>
      </c>
      <c r="I125" s="57"/>
      <c r="J125" s="57"/>
      <c r="K125" s="57"/>
      <c r="L125" s="58"/>
      <c r="M125" s="59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9" t="s">
        <v>189</v>
      </c>
      <c r="AZ125" s="61"/>
      <c r="BO125" s="150"/>
      <c r="BP125" s="150"/>
      <c r="BQ125" s="38"/>
    </row>
    <row r="126" spans="2:69" ht="40.200000000000003" hidden="1" customHeight="1" x14ac:dyDescent="0.25">
      <c r="B126" s="54"/>
      <c r="D126" s="55"/>
      <c r="E126" s="55"/>
      <c r="F126" s="56" t="s">
        <v>190</v>
      </c>
      <c r="G126" s="57"/>
      <c r="H126" s="57"/>
      <c r="I126" s="57"/>
      <c r="J126" s="57"/>
      <c r="K126" s="57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Z126" s="61"/>
    </row>
    <row r="127" spans="2:69" ht="40.200000000000003" hidden="1" customHeight="1" x14ac:dyDescent="0.25">
      <c r="B127" s="62"/>
      <c r="C127" s="9"/>
      <c r="D127" s="63"/>
      <c r="E127" s="63"/>
      <c r="F127" s="64" t="s">
        <v>191</v>
      </c>
      <c r="G127" s="65"/>
      <c r="H127" s="65"/>
      <c r="I127" s="65"/>
      <c r="J127" s="65"/>
      <c r="K127" s="65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67"/>
      <c r="BL127" s="9"/>
      <c r="BM127" s="9"/>
      <c r="BN127" s="154"/>
    </row>
    <row r="128" spans="2:69" ht="40.200000000000003" hidden="1" customHeight="1" x14ac:dyDescent="0.25">
      <c r="D128" s="55"/>
      <c r="E128" s="55"/>
      <c r="F128" s="57"/>
      <c r="G128" s="57"/>
      <c r="H128" s="57"/>
      <c r="I128" s="57"/>
      <c r="J128" s="57"/>
      <c r="K128" s="57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6:63" x14ac:dyDescent="0.25"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2" spans="6:63" x14ac:dyDescent="0.25">
      <c r="AU132" s="35"/>
    </row>
    <row r="133" spans="6:63" x14ac:dyDescent="0.25">
      <c r="AU133" s="35"/>
    </row>
    <row r="134" spans="6:63" x14ac:dyDescent="0.25">
      <c r="AU134" s="35"/>
    </row>
    <row r="135" spans="6:63" x14ac:dyDescent="0.25">
      <c r="AU135" s="35"/>
    </row>
    <row r="136" spans="6:63" x14ac:dyDescent="0.25">
      <c r="AU136" s="35"/>
    </row>
    <row r="137" spans="6:63" x14ac:dyDescent="0.25">
      <c r="AU137" s="35"/>
    </row>
    <row r="138" spans="6:63" x14ac:dyDescent="0.25">
      <c r="AU138" s="35"/>
    </row>
    <row r="139" spans="6:63" x14ac:dyDescent="0.25">
      <c r="AU139" s="35"/>
    </row>
    <row r="140" spans="6:63" x14ac:dyDescent="0.25">
      <c r="AU140" s="35"/>
    </row>
    <row r="141" spans="6:63" x14ac:dyDescent="0.25">
      <c r="AU141" s="35"/>
      <c r="BG141" s="38"/>
      <c r="BH141" s="38"/>
      <c r="BI141" s="38"/>
    </row>
    <row r="144" spans="6:63" x14ac:dyDescent="0.25">
      <c r="BJ144" s="38"/>
      <c r="BK144" s="38"/>
    </row>
    <row r="145" spans="67:69" x14ac:dyDescent="0.25">
      <c r="BO145" s="150"/>
      <c r="BP145" s="150"/>
      <c r="BQ145" s="38"/>
    </row>
  </sheetData>
  <mergeCells count="2">
    <mergeCell ref="A79:B79"/>
    <mergeCell ref="BD105:BE105"/>
  </mergeCells>
  <printOptions horizontalCentered="1"/>
  <pageMargins left="0.5" right="0.5" top="1.25" bottom="0.5" header="0.75" footer="0.3"/>
  <pageSetup paperSize="17" scale="70" orientation="portrait" r:id="rId1"/>
  <headerFooter>
    <oddHeader>&amp;C&amp;"Agenda,Regular"&amp;12&amp;K1E384BDENTON COUNTY TRANSPORTATION AUTHORITY
FY21 Proposed Budget
Budget Detail by Department</oddHeader>
  </headerFooter>
  <colBreaks count="3" manualBreakCount="3">
    <brk id="13" max="103" man="1"/>
    <brk id="41" max="103" man="1"/>
    <brk id="57" max="104" man="1"/>
  </colBreaks>
  <ignoredErrors>
    <ignoredError sqref="D107:BB107 L108:M115 AH108:AI115 BA108:BB115" formula="1"/>
    <ignoredError sqref="D108:K115 N108:T115 U108:AG115 AJ108:AR115 AS108:AZ115" formula="1" formulaRange="1"/>
    <ignoredError sqref="C108:C1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Adopted FY21 Budget Dept</vt:lpstr>
      <vt:lpstr>'Adopted FY21 Budget Dept'!Print_Area</vt:lpstr>
      <vt:lpstr>'Adopted FY21 Budget Dept'!Print_Titles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Riddle</dc:creator>
  <cp:lastModifiedBy>Amanda Riddle</cp:lastModifiedBy>
  <cp:lastPrinted>2020-06-15T22:13:34Z</cp:lastPrinted>
  <dcterms:created xsi:type="dcterms:W3CDTF">2020-06-07T00:24:37Z</dcterms:created>
  <dcterms:modified xsi:type="dcterms:W3CDTF">2020-12-23T17:07:58Z</dcterms:modified>
</cp:coreProperties>
</file>