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FOLDER\Budget Office\Budget\2021.2022 Budget\DOCUMENT SUPPORT - Budget Schedules to be Updated\"/>
    </mc:Choice>
  </mc:AlternateContent>
  <xr:revisionPtr revIDLastSave="0" documentId="13_ncr:1_{EE3B1029-6F40-41EC-BD72-1CE36A447C54}" xr6:coauthVersionLast="46" xr6:coauthVersionMax="46" xr10:uidLastSave="{00000000-0000-0000-0000-000000000000}"/>
  <bookViews>
    <workbookView xWindow="-28920" yWindow="-120" windowWidth="29040" windowHeight="15840" firstSheet="3" activeTab="3" xr2:uid="{B9695BB8-D129-4631-8822-E226648C2519}"/>
  </bookViews>
  <sheets>
    <sheet name="Adopted FY20 Budget Fund" sheetId="5" state="hidden" r:id="rId1"/>
    <sheet name="Adopted FY21 Budget Dept" sheetId="1" state="hidden" r:id="rId2"/>
    <sheet name="Revised FY21 Budget Dept " sheetId="2" state="hidden" r:id="rId3"/>
    <sheet name="Adopted FY22 Budget" sheetId="7" r:id="rId4"/>
    <sheet name="Comparison FY20 v FY22" sheetId="6" state="hidden" r:id="rId5"/>
    <sheet name="Comparison FY21 v FY22" sheetId="4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dj">[1]Budget!$A$2</definedName>
    <definedName name="All" localSheetId="0">#REF!</definedName>
    <definedName name="All" localSheetId="1">#REF!</definedName>
    <definedName name="All" localSheetId="3">#REF!</definedName>
    <definedName name="All" localSheetId="4">#REF!</definedName>
    <definedName name="All" localSheetId="5">#REF!</definedName>
    <definedName name="All" localSheetId="2">#REF!</definedName>
    <definedName name="All">#REF!</definedName>
    <definedName name="Budget2006" localSheetId="0">#REF!</definedName>
    <definedName name="Budget2006" localSheetId="1">#REF!</definedName>
    <definedName name="Budget2006" localSheetId="3">#REF!</definedName>
    <definedName name="Budget2006" localSheetId="4">#REF!</definedName>
    <definedName name="Budget2006" localSheetId="5">#REF!</definedName>
    <definedName name="Budget2006" localSheetId="2">#REF!</definedName>
    <definedName name="Budget2006">#REF!</definedName>
    <definedName name="Budget2007" localSheetId="0">#REF!</definedName>
    <definedName name="Budget2007" localSheetId="1">#REF!</definedName>
    <definedName name="Budget2007" localSheetId="3">#REF!</definedName>
    <definedName name="Budget2007" localSheetId="4">#REF!</definedName>
    <definedName name="Budget2007" localSheetId="5">#REF!</definedName>
    <definedName name="Budget2007" localSheetId="2">#REF!</definedName>
    <definedName name="Budget2007">#REF!</definedName>
    <definedName name="Commercial_Inside_Volume_Base">'[2]Volume Input'!$L$24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>#REF!</definedName>
    <definedName name="Denton_County_Growth_Forecast___COG_1_14_05" localSheetId="0">#REF!</definedName>
    <definedName name="Denton_County_Growth_Forecast___COG_1_14_05" localSheetId="1">#REF!</definedName>
    <definedName name="Denton_County_Growth_Forecast___COG_1_14_05" localSheetId="3">#REF!</definedName>
    <definedName name="Denton_County_Growth_Forecast___COG_1_14_05" localSheetId="4">#REF!</definedName>
    <definedName name="Denton_County_Growth_Forecast___COG_1_14_05" localSheetId="5">#REF!</definedName>
    <definedName name="Denton_County_Growth_Forecast___COG_1_14_05" localSheetId="2">#REF!</definedName>
    <definedName name="Denton_County_Growth_Forecast___COG_1_14_05">#REF!</definedName>
    <definedName name="Forecast2006" localSheetId="0">#REF!</definedName>
    <definedName name="Forecast2006" localSheetId="1">#REF!</definedName>
    <definedName name="Forecast2006" localSheetId="3">#REF!</definedName>
    <definedName name="Forecast2006" localSheetId="4">#REF!</definedName>
    <definedName name="Forecast2006" localSheetId="5">#REF!</definedName>
    <definedName name="Forecast2006" localSheetId="2">#REF!</definedName>
    <definedName name="Forecast2006">#REF!</definedName>
    <definedName name="FuelPricePerGallon" localSheetId="0">#REF!</definedName>
    <definedName name="FuelPricePerGallon" localSheetId="1">#REF!</definedName>
    <definedName name="FuelPricePerGallon" localSheetId="3">#REF!</definedName>
    <definedName name="FuelPricePerGallon" localSheetId="4">#REF!</definedName>
    <definedName name="FuelPricePerGallon" localSheetId="5">#REF!</definedName>
    <definedName name="FuelPricePerGallon" localSheetId="2">#REF!</definedName>
    <definedName name="FuelPricePerGallon">#REF!</definedName>
    <definedName name="FuelPricePerLiter" localSheetId="0">#REF!</definedName>
    <definedName name="FuelPricePerLiter" localSheetId="1">#REF!</definedName>
    <definedName name="FuelPricePerLiter" localSheetId="3">#REF!</definedName>
    <definedName name="FuelPricePerLiter" localSheetId="4">#REF!</definedName>
    <definedName name="FuelPricePerLiter" localSheetId="5">#REF!</definedName>
    <definedName name="FuelPricePerLiter" localSheetId="2">#REF!</definedName>
    <definedName name="FuelPricePerLiter">#REF!</definedName>
    <definedName name="g_501" localSheetId="0">'[3]2009 Revenue Budget'!#REF!</definedName>
    <definedName name="g_501" localSheetId="1">'[3]2009 Revenue Budget'!#REF!</definedName>
    <definedName name="g_501" localSheetId="3">'[3]2009 Revenue Budget'!#REF!</definedName>
    <definedName name="g_501" localSheetId="4">'[3]2009 Revenue Budget'!#REF!</definedName>
    <definedName name="g_501" localSheetId="5">'[3]2009 Revenue Budget'!#REF!</definedName>
    <definedName name="g_501" localSheetId="2">'[3]2009 Revenue Budget'!#REF!</definedName>
    <definedName name="g_501">'[3]2009 Revenue Budget'!#REF!</definedName>
    <definedName name="g_502" localSheetId="0">'[3]2009 Revenue Budget'!#REF!</definedName>
    <definedName name="g_502" localSheetId="1">'[3]2009 Revenue Budget'!#REF!</definedName>
    <definedName name="g_502" localSheetId="3">'[3]2009 Revenue Budget'!#REF!</definedName>
    <definedName name="g_502" localSheetId="4">'[3]2009 Revenue Budget'!#REF!</definedName>
    <definedName name="g_502" localSheetId="5">'[3]2009 Revenue Budget'!#REF!</definedName>
    <definedName name="g_502" localSheetId="2">'[3]2009 Revenue Budget'!#REF!</definedName>
    <definedName name="g_502">'[3]2009 Revenue Budget'!#REF!</definedName>
    <definedName name="g_503" localSheetId="0">'[3]2009 Revenue Budget'!#REF!</definedName>
    <definedName name="g_503" localSheetId="1">'[3]2009 Revenue Budget'!#REF!</definedName>
    <definedName name="g_503" localSheetId="3">'[3]2009 Revenue Budget'!#REF!</definedName>
    <definedName name="g_503" localSheetId="4">'[3]2009 Revenue Budget'!#REF!</definedName>
    <definedName name="g_503" localSheetId="5">'[3]2009 Revenue Budget'!#REF!</definedName>
    <definedName name="g_503" localSheetId="2">'[3]2009 Revenue Budget'!#REF!</definedName>
    <definedName name="g_503">'[3]2009 Revenue Budget'!#REF!</definedName>
    <definedName name="g_504" localSheetId="0">'[3]2009 Revenue Budget'!#REF!</definedName>
    <definedName name="g_504" localSheetId="1">'[3]2009 Revenue Budget'!#REF!</definedName>
    <definedName name="g_504" localSheetId="3">'[3]2009 Revenue Budget'!#REF!</definedName>
    <definedName name="g_504" localSheetId="4">'[3]2009 Revenue Budget'!#REF!</definedName>
    <definedName name="g_504" localSheetId="5">'[3]2009 Revenue Budget'!#REF!</definedName>
    <definedName name="g_504" localSheetId="2">'[3]2009 Revenue Budget'!#REF!</definedName>
    <definedName name="g_504">'[3]2009 Revenue Budget'!#REF!</definedName>
    <definedName name="g_505" localSheetId="0">'[3]2009 Revenue Budget'!#REF!</definedName>
    <definedName name="g_505" localSheetId="1">'[3]2009 Revenue Budget'!#REF!</definedName>
    <definedName name="g_505" localSheetId="3">'[3]2009 Revenue Budget'!#REF!</definedName>
    <definedName name="g_505" localSheetId="4">'[3]2009 Revenue Budget'!#REF!</definedName>
    <definedName name="g_505" localSheetId="5">'[3]2009 Revenue Budget'!#REF!</definedName>
    <definedName name="g_505" localSheetId="2">'[3]2009 Revenue Budget'!#REF!</definedName>
    <definedName name="g_505">'[3]2009 Revenue Budget'!#REF!</definedName>
    <definedName name="g_506" localSheetId="0">'[3]2009 Revenue Budget'!#REF!</definedName>
    <definedName name="g_506" localSheetId="1">'[3]2009 Revenue Budget'!#REF!</definedName>
    <definedName name="g_506" localSheetId="3">'[3]2009 Revenue Budget'!#REF!</definedName>
    <definedName name="g_506" localSheetId="4">'[3]2009 Revenue Budget'!#REF!</definedName>
    <definedName name="g_506" localSheetId="5">'[3]2009 Revenue Budget'!#REF!</definedName>
    <definedName name="g_506" localSheetId="2">'[3]2009 Revenue Budget'!#REF!</definedName>
    <definedName name="g_506">'[3]2009 Revenue Budget'!#REF!</definedName>
    <definedName name="g_509" localSheetId="0">'[3]2009 Revenue Budget'!#REF!</definedName>
    <definedName name="g_509" localSheetId="1">'[3]2009 Revenue Budget'!#REF!</definedName>
    <definedName name="g_509" localSheetId="3">'[3]2009 Revenue Budget'!#REF!</definedName>
    <definedName name="g_509" localSheetId="4">'[3]2009 Revenue Budget'!#REF!</definedName>
    <definedName name="g_509" localSheetId="5">'[3]2009 Revenue Budget'!#REF!</definedName>
    <definedName name="g_509" localSheetId="2">'[3]2009 Revenue Budget'!#REF!</definedName>
    <definedName name="g_509">'[3]2009 Revenue Budget'!#REF!</definedName>
    <definedName name="g_510" localSheetId="0">'[3]2009 Revenue Budget'!#REF!</definedName>
    <definedName name="g_510" localSheetId="1">'[3]2009 Revenue Budget'!#REF!</definedName>
    <definedName name="g_510" localSheetId="3">'[3]2009 Revenue Budget'!#REF!</definedName>
    <definedName name="g_510" localSheetId="4">'[3]2009 Revenue Budget'!#REF!</definedName>
    <definedName name="g_510" localSheetId="5">'[3]2009 Revenue Budget'!#REF!</definedName>
    <definedName name="g_510" localSheetId="2">'[3]2009 Revenue Budget'!#REF!</definedName>
    <definedName name="g_510">'[3]2009 Revenue Budget'!#REF!</definedName>
    <definedName name="g_512" localSheetId="0">'[3]2009 Revenue Budget'!#REF!</definedName>
    <definedName name="g_512" localSheetId="1">'[3]2009 Revenue Budget'!#REF!</definedName>
    <definedName name="g_512" localSheetId="3">'[3]2009 Revenue Budget'!#REF!</definedName>
    <definedName name="g_512" localSheetId="4">'[3]2009 Revenue Budget'!#REF!</definedName>
    <definedName name="g_512" localSheetId="5">'[3]2009 Revenue Budget'!#REF!</definedName>
    <definedName name="g_512" localSheetId="2">'[3]2009 Revenue Budget'!#REF!</definedName>
    <definedName name="g_512">'[3]2009 Revenue Budget'!#REF!</definedName>
    <definedName name="g_513" localSheetId="0">'[3]2009 Revenue Budget'!#REF!</definedName>
    <definedName name="g_513" localSheetId="1">'[3]2009 Revenue Budget'!#REF!</definedName>
    <definedName name="g_513" localSheetId="3">'[3]2009 Revenue Budget'!#REF!</definedName>
    <definedName name="g_513" localSheetId="4">'[3]2009 Revenue Budget'!#REF!</definedName>
    <definedName name="g_513" localSheetId="5">'[3]2009 Revenue Budget'!#REF!</definedName>
    <definedName name="g_513" localSheetId="2">'[3]2009 Revenue Budget'!#REF!</definedName>
    <definedName name="g_513">'[3]2009 Revenue Budget'!#REF!</definedName>
    <definedName name="GallonToLiterConversion" localSheetId="0">#REF!</definedName>
    <definedName name="GallonToLiterConversion" localSheetId="1">#REF!</definedName>
    <definedName name="GallonToLiterConversion" localSheetId="3">#REF!</definedName>
    <definedName name="GallonToLiterConversion" localSheetId="4">#REF!</definedName>
    <definedName name="GallonToLiterConversion" localSheetId="5">#REF!</definedName>
    <definedName name="GallonToLiterConversion" localSheetId="2">#REF!</definedName>
    <definedName name="GallonToLiterConversion">#REF!</definedName>
    <definedName name="gt_501" localSheetId="0">'[3]2009 Revenue Budget'!#REF!</definedName>
    <definedName name="gt_501" localSheetId="1">'[3]2009 Revenue Budget'!#REF!</definedName>
    <definedName name="gt_501" localSheetId="3">'[3]2009 Revenue Budget'!#REF!</definedName>
    <definedName name="gt_501" localSheetId="4">'[3]2009 Revenue Budget'!#REF!</definedName>
    <definedName name="gt_501" localSheetId="5">'[3]2009 Revenue Budget'!#REF!</definedName>
    <definedName name="gt_501" localSheetId="2">'[3]2009 Revenue Budget'!#REF!</definedName>
    <definedName name="gt_501">'[3]2009 Revenue Budget'!#REF!</definedName>
    <definedName name="gt_502" localSheetId="0">'[3]2009 Revenue Budget'!#REF!</definedName>
    <definedName name="gt_502" localSheetId="1">'[3]2009 Revenue Budget'!#REF!</definedName>
    <definedName name="gt_502" localSheetId="3">'[3]2009 Revenue Budget'!#REF!</definedName>
    <definedName name="gt_502" localSheetId="4">'[3]2009 Revenue Budget'!#REF!</definedName>
    <definedName name="gt_502" localSheetId="5">'[3]2009 Revenue Budget'!#REF!</definedName>
    <definedName name="gt_502" localSheetId="2">'[3]2009 Revenue Budget'!#REF!</definedName>
    <definedName name="gt_502">'[3]2009 Revenue Budget'!#REF!</definedName>
    <definedName name="gt_503" localSheetId="0">'[3]2009 Revenue Budget'!#REF!</definedName>
    <definedName name="gt_503" localSheetId="1">'[3]2009 Revenue Budget'!#REF!</definedName>
    <definedName name="gt_503" localSheetId="3">'[3]2009 Revenue Budget'!#REF!</definedName>
    <definedName name="gt_503" localSheetId="4">'[3]2009 Revenue Budget'!#REF!</definedName>
    <definedName name="gt_503" localSheetId="5">'[3]2009 Revenue Budget'!#REF!</definedName>
    <definedName name="gt_503" localSheetId="2">'[3]2009 Revenue Budget'!#REF!</definedName>
    <definedName name="gt_503">'[3]2009 Revenue Budget'!#REF!</definedName>
    <definedName name="gt_504" localSheetId="0">'[3]2009 Revenue Budget'!#REF!</definedName>
    <definedName name="gt_504" localSheetId="1">'[3]2009 Revenue Budget'!#REF!</definedName>
    <definedName name="gt_504" localSheetId="3">'[3]2009 Revenue Budget'!#REF!</definedName>
    <definedName name="gt_504" localSheetId="4">'[3]2009 Revenue Budget'!#REF!</definedName>
    <definedName name="gt_504" localSheetId="5">'[3]2009 Revenue Budget'!#REF!</definedName>
    <definedName name="gt_504" localSheetId="2">'[3]2009 Revenue Budget'!#REF!</definedName>
    <definedName name="gt_504">'[3]2009 Revenue Budget'!#REF!</definedName>
    <definedName name="gt_505" localSheetId="0">'[3]2009 Revenue Budget'!#REF!</definedName>
    <definedName name="gt_505" localSheetId="1">'[3]2009 Revenue Budget'!#REF!</definedName>
    <definedName name="gt_505" localSheetId="3">'[3]2009 Revenue Budget'!#REF!</definedName>
    <definedName name="gt_505" localSheetId="4">'[3]2009 Revenue Budget'!#REF!</definedName>
    <definedName name="gt_505" localSheetId="5">'[3]2009 Revenue Budget'!#REF!</definedName>
    <definedName name="gt_505" localSheetId="2">'[3]2009 Revenue Budget'!#REF!</definedName>
    <definedName name="gt_505">'[3]2009 Revenue Budget'!#REF!</definedName>
    <definedName name="gt_506" localSheetId="0">'[3]2009 Revenue Budget'!#REF!</definedName>
    <definedName name="gt_506" localSheetId="1">'[3]2009 Revenue Budget'!#REF!</definedName>
    <definedName name="gt_506" localSheetId="3">'[3]2009 Revenue Budget'!#REF!</definedName>
    <definedName name="gt_506" localSheetId="4">'[3]2009 Revenue Budget'!#REF!</definedName>
    <definedName name="gt_506" localSheetId="5">'[3]2009 Revenue Budget'!#REF!</definedName>
    <definedName name="gt_506" localSheetId="2">'[3]2009 Revenue Budget'!#REF!</definedName>
    <definedName name="gt_506">'[3]2009 Revenue Budget'!#REF!</definedName>
    <definedName name="gt_509" localSheetId="0">'[3]2009 Revenue Budget'!#REF!</definedName>
    <definedName name="gt_509" localSheetId="1">'[3]2009 Revenue Budget'!#REF!</definedName>
    <definedName name="gt_509" localSheetId="3">'[3]2009 Revenue Budget'!#REF!</definedName>
    <definedName name="gt_509" localSheetId="4">'[3]2009 Revenue Budget'!#REF!</definedName>
    <definedName name="gt_509" localSheetId="5">'[3]2009 Revenue Budget'!#REF!</definedName>
    <definedName name="gt_509" localSheetId="2">'[3]2009 Revenue Budget'!#REF!</definedName>
    <definedName name="gt_509">'[3]2009 Revenue Budget'!#REF!</definedName>
    <definedName name="gt_510" localSheetId="0">'[3]2009 Revenue Budget'!#REF!</definedName>
    <definedName name="gt_510" localSheetId="1">'[3]2009 Revenue Budget'!#REF!</definedName>
    <definedName name="gt_510" localSheetId="3">'[3]2009 Revenue Budget'!#REF!</definedName>
    <definedName name="gt_510" localSheetId="4">'[3]2009 Revenue Budget'!#REF!</definedName>
    <definedName name="gt_510" localSheetId="5">'[3]2009 Revenue Budget'!#REF!</definedName>
    <definedName name="gt_510" localSheetId="2">'[3]2009 Revenue Budget'!#REF!</definedName>
    <definedName name="gt_510">'[3]2009 Revenue Budget'!#REF!</definedName>
    <definedName name="gt_512" localSheetId="0">'[3]2009 Revenue Budget'!#REF!</definedName>
    <definedName name="gt_512" localSheetId="1">'[3]2009 Revenue Budget'!#REF!</definedName>
    <definedName name="gt_512" localSheetId="3">'[3]2009 Revenue Budget'!#REF!</definedName>
    <definedName name="gt_512" localSheetId="4">'[3]2009 Revenue Budget'!#REF!</definedName>
    <definedName name="gt_512" localSheetId="5">'[3]2009 Revenue Budget'!#REF!</definedName>
    <definedName name="gt_512" localSheetId="2">'[3]2009 Revenue Budget'!#REF!</definedName>
    <definedName name="gt_512">'[3]2009 Revenue Budget'!#REF!</definedName>
    <definedName name="gt_513" localSheetId="0">'[3]2009 Revenue Budget'!#REF!</definedName>
    <definedName name="gt_513" localSheetId="1">'[3]2009 Revenue Budget'!#REF!</definedName>
    <definedName name="gt_513" localSheetId="3">'[3]2009 Revenue Budget'!#REF!</definedName>
    <definedName name="gt_513" localSheetId="4">'[3]2009 Revenue Budget'!#REF!</definedName>
    <definedName name="gt_513" localSheetId="5">'[3]2009 Revenue Budget'!#REF!</definedName>
    <definedName name="gt_513" localSheetId="2">'[3]2009 Revenue Budget'!#REF!</definedName>
    <definedName name="gt_513">'[3]2009 Revenue Budget'!#REF!</definedName>
    <definedName name="L" localSheetId="0">#REF!</definedName>
    <definedName name="L">#REF!</definedName>
    <definedName name="MachinistOTRate" localSheetId="0">'[4]MOW Labor'!#REF!</definedName>
    <definedName name="MachinistOTRate" localSheetId="1">'[4]MOW Labor'!#REF!</definedName>
    <definedName name="MachinistOTRate" localSheetId="3">'[4]MOW Labor'!#REF!</definedName>
    <definedName name="MachinistOTRate" localSheetId="4">'[4]MOW Labor'!#REF!</definedName>
    <definedName name="MachinistOTRate" localSheetId="5">'[4]MOW Labor'!#REF!</definedName>
    <definedName name="MachinistOTRate" localSheetId="2">'[4]MOW Labor'!#REF!</definedName>
    <definedName name="MachinistOTRate">'[4]MOW Labor'!#REF!</definedName>
    <definedName name="MachinistOTRate2">'[5]MOW Labor'!#REF!</definedName>
    <definedName name="MOELead" localSheetId="0">[4]Budget!#REF!</definedName>
    <definedName name="MOELead" localSheetId="1">[4]Budget!#REF!</definedName>
    <definedName name="MOELead" localSheetId="3">[4]Budget!#REF!</definedName>
    <definedName name="MOELead" localSheetId="4">[4]Budget!#REF!</definedName>
    <definedName name="MOELead" localSheetId="5">[4]Budget!#REF!</definedName>
    <definedName name="MOELead" localSheetId="2">[4]Budget!#REF!</definedName>
    <definedName name="MOELead">[4]Budget!#REF!</definedName>
    <definedName name="MOETotals" localSheetId="0">[4]Budget!#REF!</definedName>
    <definedName name="MOETotals" localSheetId="1">[4]Budget!#REF!</definedName>
    <definedName name="MOETotals" localSheetId="3">[4]Budget!#REF!</definedName>
    <definedName name="MOETotals" localSheetId="4">[4]Budget!#REF!</definedName>
    <definedName name="MOETotals" localSheetId="5">[4]Budget!#REF!</definedName>
    <definedName name="MOETotals" localSheetId="2">[4]Budget!#REF!</definedName>
    <definedName name="MOETotals">[4]Budget!#REF!</definedName>
    <definedName name="MOWLead" localSheetId="0">[4]Budget!#REF!</definedName>
    <definedName name="MOWLead" localSheetId="1">[4]Budget!#REF!</definedName>
    <definedName name="MOWLead" localSheetId="3">[4]Budget!#REF!</definedName>
    <definedName name="MOWLead" localSheetId="4">[4]Budget!#REF!</definedName>
    <definedName name="MOWLead" localSheetId="5">[4]Budget!#REF!</definedName>
    <definedName name="MOWLead" localSheetId="2">[4]Budget!#REF!</definedName>
    <definedName name="MOWLead">[4]Budget!#REF!</definedName>
    <definedName name="MOWTotals" localSheetId="0">[4]Budget!#REF!</definedName>
    <definedName name="MOWTotals" localSheetId="1">[4]Budget!#REF!</definedName>
    <definedName name="MOWTotals" localSheetId="3">[4]Budget!#REF!</definedName>
    <definedName name="MOWTotals" localSheetId="4">[4]Budget!#REF!</definedName>
    <definedName name="MOWTotals" localSheetId="5">[4]Budget!#REF!</definedName>
    <definedName name="MOWTotals" localSheetId="2">[4]Budget!#REF!</definedName>
    <definedName name="MOWTotals">[4]Budget!#REF!</definedName>
    <definedName name="o_501" localSheetId="0">'[3]2009 Revenue Budget'!#REF!</definedName>
    <definedName name="o_501" localSheetId="1">'[3]2009 Revenue Budget'!#REF!</definedName>
    <definedName name="o_501" localSheetId="3">'[3]2009 Revenue Budget'!#REF!</definedName>
    <definedName name="o_501" localSheetId="4">'[3]2009 Revenue Budget'!#REF!</definedName>
    <definedName name="o_501" localSheetId="5">'[3]2009 Revenue Budget'!#REF!</definedName>
    <definedName name="o_501" localSheetId="2">'[3]2009 Revenue Budget'!#REF!</definedName>
    <definedName name="o_501">'[3]2009 Revenue Budget'!#REF!</definedName>
    <definedName name="o_502" localSheetId="0">'[3]2009 Revenue Budget'!#REF!</definedName>
    <definedName name="o_502" localSheetId="1">'[3]2009 Revenue Budget'!#REF!</definedName>
    <definedName name="o_502" localSheetId="3">'[3]2009 Revenue Budget'!#REF!</definedName>
    <definedName name="o_502" localSheetId="4">'[3]2009 Revenue Budget'!#REF!</definedName>
    <definedName name="o_502" localSheetId="5">'[3]2009 Revenue Budget'!#REF!</definedName>
    <definedName name="o_502" localSheetId="2">'[3]2009 Revenue Budget'!#REF!</definedName>
    <definedName name="o_502">'[3]2009 Revenue Budget'!#REF!</definedName>
    <definedName name="o_503" localSheetId="0">'[3]2009 Revenue Budget'!#REF!</definedName>
    <definedName name="o_503" localSheetId="1">'[3]2009 Revenue Budget'!#REF!</definedName>
    <definedName name="o_503" localSheetId="3">'[3]2009 Revenue Budget'!#REF!</definedName>
    <definedName name="o_503" localSheetId="4">'[3]2009 Revenue Budget'!#REF!</definedName>
    <definedName name="o_503" localSheetId="5">'[3]2009 Revenue Budget'!#REF!</definedName>
    <definedName name="o_503" localSheetId="2">'[3]2009 Revenue Budget'!#REF!</definedName>
    <definedName name="o_503">'[3]2009 Revenue Budget'!#REF!</definedName>
    <definedName name="o_504" localSheetId="0">'[3]2009 Revenue Budget'!#REF!</definedName>
    <definedName name="o_504" localSheetId="1">'[3]2009 Revenue Budget'!#REF!</definedName>
    <definedName name="o_504" localSheetId="3">'[3]2009 Revenue Budget'!#REF!</definedName>
    <definedName name="o_504" localSheetId="4">'[3]2009 Revenue Budget'!#REF!</definedName>
    <definedName name="o_504" localSheetId="5">'[3]2009 Revenue Budget'!#REF!</definedName>
    <definedName name="o_504" localSheetId="2">'[3]2009 Revenue Budget'!#REF!</definedName>
    <definedName name="o_504">'[3]2009 Revenue Budget'!#REF!</definedName>
    <definedName name="o_505" localSheetId="0">'[3]2009 Revenue Budget'!#REF!</definedName>
    <definedName name="o_505" localSheetId="1">'[3]2009 Revenue Budget'!#REF!</definedName>
    <definedName name="o_505" localSheetId="3">'[3]2009 Revenue Budget'!#REF!</definedName>
    <definedName name="o_505" localSheetId="4">'[3]2009 Revenue Budget'!#REF!</definedName>
    <definedName name="o_505" localSheetId="5">'[3]2009 Revenue Budget'!#REF!</definedName>
    <definedName name="o_505" localSheetId="2">'[3]2009 Revenue Budget'!#REF!</definedName>
    <definedName name="o_505">'[3]2009 Revenue Budget'!#REF!</definedName>
    <definedName name="o_506" localSheetId="0">'[3]2009 Revenue Budget'!#REF!</definedName>
    <definedName name="o_506" localSheetId="1">'[3]2009 Revenue Budget'!#REF!</definedName>
    <definedName name="o_506" localSheetId="3">'[3]2009 Revenue Budget'!#REF!</definedName>
    <definedName name="o_506" localSheetId="4">'[3]2009 Revenue Budget'!#REF!</definedName>
    <definedName name="o_506" localSheetId="5">'[3]2009 Revenue Budget'!#REF!</definedName>
    <definedName name="o_506" localSheetId="2">'[3]2009 Revenue Budget'!#REF!</definedName>
    <definedName name="o_506">'[3]2009 Revenue Budget'!#REF!</definedName>
    <definedName name="o_508" localSheetId="0">'[3]2009 Revenue Budget'!#REF!</definedName>
    <definedName name="o_508" localSheetId="1">'[3]2009 Revenue Budget'!#REF!</definedName>
    <definedName name="o_508" localSheetId="3">'[3]2009 Revenue Budget'!#REF!</definedName>
    <definedName name="o_508" localSheetId="4">'[3]2009 Revenue Budget'!#REF!</definedName>
    <definedName name="o_508" localSheetId="5">'[3]2009 Revenue Budget'!#REF!</definedName>
    <definedName name="o_508" localSheetId="2">'[3]2009 Revenue Budget'!#REF!</definedName>
    <definedName name="o_508">'[3]2009 Revenue Budget'!#REF!</definedName>
    <definedName name="o_509" localSheetId="0">'[3]2009 Revenue Budget'!#REF!</definedName>
    <definedName name="o_509" localSheetId="1">'[3]2009 Revenue Budget'!#REF!</definedName>
    <definedName name="o_509" localSheetId="3">'[3]2009 Revenue Budget'!#REF!</definedName>
    <definedName name="o_509" localSheetId="4">'[3]2009 Revenue Budget'!#REF!</definedName>
    <definedName name="o_509" localSheetId="5">'[3]2009 Revenue Budget'!#REF!</definedName>
    <definedName name="o_509" localSheetId="2">'[3]2009 Revenue Budget'!#REF!</definedName>
    <definedName name="o_509">'[3]2009 Revenue Budget'!#REF!</definedName>
    <definedName name="o_512" localSheetId="0">'[3]2009 Revenue Budget'!#REF!</definedName>
    <definedName name="o_512" localSheetId="1">'[3]2009 Revenue Budget'!#REF!</definedName>
    <definedName name="o_512" localSheetId="3">'[3]2009 Revenue Budget'!#REF!</definedName>
    <definedName name="o_512" localSheetId="4">'[3]2009 Revenue Budget'!#REF!</definedName>
    <definedName name="o_512" localSheetId="5">'[3]2009 Revenue Budget'!#REF!</definedName>
    <definedName name="o_512" localSheetId="2">'[3]2009 Revenue Budget'!#REF!</definedName>
    <definedName name="o_512">'[3]2009 Revenue Budget'!#REF!</definedName>
    <definedName name="o_513" localSheetId="0">'[3]2009 Revenue Budget'!#REF!</definedName>
    <definedName name="o_513" localSheetId="1">'[3]2009 Revenue Budget'!#REF!</definedName>
    <definedName name="o_513" localSheetId="3">'[3]2009 Revenue Budget'!#REF!</definedName>
    <definedName name="o_513" localSheetId="4">'[3]2009 Revenue Budget'!#REF!</definedName>
    <definedName name="o_513" localSheetId="5">'[3]2009 Revenue Budget'!#REF!</definedName>
    <definedName name="o_513" localSheetId="2">'[3]2009 Revenue Budget'!#REF!</definedName>
    <definedName name="o_513">'[3]2009 Revenue Budget'!#REF!</definedName>
    <definedName name="oi_407" localSheetId="0">'[3]2009 Revenue Budget'!#REF!</definedName>
    <definedName name="oi_407" localSheetId="1">'[3]2009 Revenue Budget'!#REF!</definedName>
    <definedName name="oi_407" localSheetId="3">'[3]2009 Revenue Budget'!#REF!</definedName>
    <definedName name="oi_407" localSheetId="4">'[3]2009 Revenue Budget'!#REF!</definedName>
    <definedName name="oi_407" localSheetId="5">'[3]2009 Revenue Budget'!#REF!</definedName>
    <definedName name="oi_407" localSheetId="2">'[3]2009 Revenue Budget'!#REF!</definedName>
    <definedName name="oi_407">'[3]2009 Revenue Budget'!#REF!</definedName>
    <definedName name="oi_408" localSheetId="0">'[3]2009 Revenue Budget'!#REF!</definedName>
    <definedName name="oi_408" localSheetId="1">'[3]2009 Revenue Budget'!#REF!</definedName>
    <definedName name="oi_408" localSheetId="3">'[3]2009 Revenue Budget'!#REF!</definedName>
    <definedName name="oi_408" localSheetId="4">'[3]2009 Revenue Budget'!#REF!</definedName>
    <definedName name="oi_408" localSheetId="5">'[3]2009 Revenue Budget'!#REF!</definedName>
    <definedName name="oi_408" localSheetId="2">'[3]2009 Revenue Budget'!#REF!</definedName>
    <definedName name="oi_408">'[3]2009 Revenue Budget'!#REF!</definedName>
    <definedName name="oi_411" localSheetId="0">'[3]2009 Revenue Budget'!#REF!</definedName>
    <definedName name="oi_411" localSheetId="1">'[3]2009 Revenue Budget'!#REF!</definedName>
    <definedName name="oi_411" localSheetId="3">'[3]2009 Revenue Budget'!#REF!</definedName>
    <definedName name="oi_411" localSheetId="4">'[3]2009 Revenue Budget'!#REF!</definedName>
    <definedName name="oi_411" localSheetId="5">'[3]2009 Revenue Budget'!#REF!</definedName>
    <definedName name="oi_411" localSheetId="2">'[3]2009 Revenue Budget'!#REF!</definedName>
    <definedName name="oi_411">'[3]2009 Revenue Budget'!#REF!</definedName>
    <definedName name="oi_413" localSheetId="0">'[3]2009 Revenue Budget'!#REF!</definedName>
    <definedName name="oi_413" localSheetId="1">'[3]2009 Revenue Budget'!#REF!</definedName>
    <definedName name="oi_413" localSheetId="3">'[3]2009 Revenue Budget'!#REF!</definedName>
    <definedName name="oi_413" localSheetId="4">'[3]2009 Revenue Budget'!#REF!</definedName>
    <definedName name="oi_413" localSheetId="5">'[3]2009 Revenue Budget'!#REF!</definedName>
    <definedName name="oi_413" localSheetId="2">'[3]2009 Revenue Budget'!#REF!</definedName>
    <definedName name="oi_413">'[3]2009 Revenue Budget'!#REF!</definedName>
    <definedName name="oit_407" localSheetId="0">'[3]2009 Revenue Budget'!#REF!</definedName>
    <definedName name="oit_407" localSheetId="1">'[3]2009 Revenue Budget'!#REF!</definedName>
    <definedName name="oit_407" localSheetId="3">'[3]2009 Revenue Budget'!#REF!</definedName>
    <definedName name="oit_407" localSheetId="4">'[3]2009 Revenue Budget'!#REF!</definedName>
    <definedName name="oit_407" localSheetId="5">'[3]2009 Revenue Budget'!#REF!</definedName>
    <definedName name="oit_407" localSheetId="2">'[3]2009 Revenue Budget'!#REF!</definedName>
    <definedName name="oit_407">'[3]2009 Revenue Budget'!#REF!</definedName>
    <definedName name="oit_408" localSheetId="0">'[3]2009 Revenue Budget'!#REF!</definedName>
    <definedName name="oit_408" localSheetId="1">'[3]2009 Revenue Budget'!#REF!</definedName>
    <definedName name="oit_408" localSheetId="3">'[3]2009 Revenue Budget'!#REF!</definedName>
    <definedName name="oit_408" localSheetId="4">'[3]2009 Revenue Budget'!#REF!</definedName>
    <definedName name="oit_408" localSheetId="5">'[3]2009 Revenue Budget'!#REF!</definedName>
    <definedName name="oit_408" localSheetId="2">'[3]2009 Revenue Budget'!#REF!</definedName>
    <definedName name="oit_408">'[3]2009 Revenue Budget'!#REF!</definedName>
    <definedName name="oit_411" localSheetId="0">'[3]2009 Revenue Budget'!#REF!</definedName>
    <definedName name="oit_411" localSheetId="1">'[3]2009 Revenue Budget'!#REF!</definedName>
    <definedName name="oit_411" localSheetId="3">'[3]2009 Revenue Budget'!#REF!</definedName>
    <definedName name="oit_411" localSheetId="4">'[3]2009 Revenue Budget'!#REF!</definedName>
    <definedName name="oit_411" localSheetId="5">'[3]2009 Revenue Budget'!#REF!</definedName>
    <definedName name="oit_411" localSheetId="2">'[3]2009 Revenue Budget'!#REF!</definedName>
    <definedName name="oit_411">'[3]2009 Revenue Budget'!#REF!</definedName>
    <definedName name="oit_413" localSheetId="0">'[3]2009 Revenue Budget'!#REF!</definedName>
    <definedName name="oit_413" localSheetId="1">'[3]2009 Revenue Budget'!#REF!</definedName>
    <definedName name="oit_413" localSheetId="3">'[3]2009 Revenue Budget'!#REF!</definedName>
    <definedName name="oit_413" localSheetId="4">'[3]2009 Revenue Budget'!#REF!</definedName>
    <definedName name="oit_413" localSheetId="5">'[3]2009 Revenue Budget'!#REF!</definedName>
    <definedName name="oit_413" localSheetId="2">'[3]2009 Revenue Budget'!#REF!</definedName>
    <definedName name="oit_413">'[3]2009 Revenue Budget'!#REF!</definedName>
    <definedName name="ot_501" localSheetId="0">'[3]2009 Revenue Budget'!#REF!</definedName>
    <definedName name="ot_501" localSheetId="1">'[3]2009 Revenue Budget'!#REF!</definedName>
    <definedName name="ot_501" localSheetId="3">'[3]2009 Revenue Budget'!#REF!</definedName>
    <definedName name="ot_501" localSheetId="4">'[3]2009 Revenue Budget'!#REF!</definedName>
    <definedName name="ot_501" localSheetId="5">'[3]2009 Revenue Budget'!#REF!</definedName>
    <definedName name="ot_501" localSheetId="2">'[3]2009 Revenue Budget'!#REF!</definedName>
    <definedName name="ot_501">'[3]2009 Revenue Budget'!#REF!</definedName>
    <definedName name="ot_502" localSheetId="0">'[3]2009 Revenue Budget'!#REF!</definedName>
    <definedName name="ot_502" localSheetId="1">'[3]2009 Revenue Budget'!#REF!</definedName>
    <definedName name="ot_502" localSheetId="3">'[3]2009 Revenue Budget'!#REF!</definedName>
    <definedName name="ot_502" localSheetId="4">'[3]2009 Revenue Budget'!#REF!</definedName>
    <definedName name="ot_502" localSheetId="5">'[3]2009 Revenue Budget'!#REF!</definedName>
    <definedName name="ot_502" localSheetId="2">'[3]2009 Revenue Budget'!#REF!</definedName>
    <definedName name="ot_502">'[3]2009 Revenue Budget'!#REF!</definedName>
    <definedName name="ot_503" localSheetId="0">'[3]2009 Revenue Budget'!#REF!</definedName>
    <definedName name="ot_503" localSheetId="1">'[3]2009 Revenue Budget'!#REF!</definedName>
    <definedName name="ot_503" localSheetId="3">'[3]2009 Revenue Budget'!#REF!</definedName>
    <definedName name="ot_503" localSheetId="4">'[3]2009 Revenue Budget'!#REF!</definedName>
    <definedName name="ot_503" localSheetId="5">'[3]2009 Revenue Budget'!#REF!</definedName>
    <definedName name="ot_503" localSheetId="2">'[3]2009 Revenue Budget'!#REF!</definedName>
    <definedName name="ot_503">'[3]2009 Revenue Budget'!#REF!</definedName>
    <definedName name="ot_504" localSheetId="0">'[3]2009 Revenue Budget'!#REF!</definedName>
    <definedName name="ot_504" localSheetId="1">'[3]2009 Revenue Budget'!#REF!</definedName>
    <definedName name="ot_504" localSheetId="3">'[3]2009 Revenue Budget'!#REF!</definedName>
    <definedName name="ot_504" localSheetId="4">'[3]2009 Revenue Budget'!#REF!</definedName>
    <definedName name="ot_504" localSheetId="5">'[3]2009 Revenue Budget'!#REF!</definedName>
    <definedName name="ot_504" localSheetId="2">'[3]2009 Revenue Budget'!#REF!</definedName>
    <definedName name="ot_504">'[3]2009 Revenue Budget'!#REF!</definedName>
    <definedName name="ot_505" localSheetId="0">'[3]2009 Revenue Budget'!#REF!</definedName>
    <definedName name="ot_505" localSheetId="1">'[3]2009 Revenue Budget'!#REF!</definedName>
    <definedName name="ot_505" localSheetId="3">'[3]2009 Revenue Budget'!#REF!</definedName>
    <definedName name="ot_505" localSheetId="4">'[3]2009 Revenue Budget'!#REF!</definedName>
    <definedName name="ot_505" localSheetId="5">'[3]2009 Revenue Budget'!#REF!</definedName>
    <definedName name="ot_505" localSheetId="2">'[3]2009 Revenue Budget'!#REF!</definedName>
    <definedName name="ot_505">'[3]2009 Revenue Budget'!#REF!</definedName>
    <definedName name="ot_506" localSheetId="0">'[3]2009 Revenue Budget'!#REF!</definedName>
    <definedName name="ot_506" localSheetId="1">'[3]2009 Revenue Budget'!#REF!</definedName>
    <definedName name="ot_506" localSheetId="3">'[3]2009 Revenue Budget'!#REF!</definedName>
    <definedName name="ot_506" localSheetId="4">'[3]2009 Revenue Budget'!#REF!</definedName>
    <definedName name="ot_506" localSheetId="5">'[3]2009 Revenue Budget'!#REF!</definedName>
    <definedName name="ot_506" localSheetId="2">'[3]2009 Revenue Budget'!#REF!</definedName>
    <definedName name="ot_506">'[3]2009 Revenue Budget'!#REF!</definedName>
    <definedName name="ot_508" localSheetId="0">'[3]2009 Revenue Budget'!#REF!</definedName>
    <definedName name="ot_508" localSheetId="1">'[3]2009 Revenue Budget'!#REF!</definedName>
    <definedName name="ot_508" localSheetId="3">'[3]2009 Revenue Budget'!#REF!</definedName>
    <definedName name="ot_508" localSheetId="4">'[3]2009 Revenue Budget'!#REF!</definedName>
    <definedName name="ot_508" localSheetId="5">'[3]2009 Revenue Budget'!#REF!</definedName>
    <definedName name="ot_508" localSheetId="2">'[3]2009 Revenue Budget'!#REF!</definedName>
    <definedName name="ot_508">'[3]2009 Revenue Budget'!#REF!</definedName>
    <definedName name="ot_509" localSheetId="0">'[3]2009 Revenue Budget'!#REF!</definedName>
    <definedName name="ot_509" localSheetId="1">'[3]2009 Revenue Budget'!#REF!</definedName>
    <definedName name="ot_509" localSheetId="3">'[3]2009 Revenue Budget'!#REF!</definedName>
    <definedName name="ot_509" localSheetId="4">'[3]2009 Revenue Budget'!#REF!</definedName>
    <definedName name="ot_509" localSheetId="5">'[3]2009 Revenue Budget'!#REF!</definedName>
    <definedName name="ot_509" localSheetId="2">'[3]2009 Revenue Budget'!#REF!</definedName>
    <definedName name="ot_509">'[3]2009 Revenue Budget'!#REF!</definedName>
    <definedName name="ot_512" localSheetId="0">'[3]2009 Revenue Budget'!#REF!</definedName>
    <definedName name="ot_512" localSheetId="1">'[3]2009 Revenue Budget'!#REF!</definedName>
    <definedName name="ot_512" localSheetId="3">'[3]2009 Revenue Budget'!#REF!</definedName>
    <definedName name="ot_512" localSheetId="4">'[3]2009 Revenue Budget'!#REF!</definedName>
    <definedName name="ot_512" localSheetId="5">'[3]2009 Revenue Budget'!#REF!</definedName>
    <definedName name="ot_512" localSheetId="2">'[3]2009 Revenue Budget'!#REF!</definedName>
    <definedName name="ot_512">'[3]2009 Revenue Budget'!#REF!</definedName>
    <definedName name="ot_513" localSheetId="0">'[3]2009 Revenue Budget'!#REF!</definedName>
    <definedName name="ot_513" localSheetId="1">'[3]2009 Revenue Budget'!#REF!</definedName>
    <definedName name="ot_513" localSheetId="3">'[3]2009 Revenue Budget'!#REF!</definedName>
    <definedName name="ot_513" localSheetId="4">'[3]2009 Revenue Budget'!#REF!</definedName>
    <definedName name="ot_513" localSheetId="5">'[3]2009 Revenue Budget'!#REF!</definedName>
    <definedName name="ot_513" localSheetId="2">'[3]2009 Revenue Budget'!#REF!</definedName>
    <definedName name="ot_513">'[3]2009 Revenue Budget'!#REF!</definedName>
    <definedName name="PitBallastPerTon" localSheetId="0">'[4]MOW Expenses'!#REF!</definedName>
    <definedName name="PitBallastPerTon" localSheetId="1">'[4]MOW Expenses'!#REF!</definedName>
    <definedName name="PitBallastPerTon" localSheetId="3">'[4]MOW Expenses'!#REF!</definedName>
    <definedName name="PitBallastPerTon" localSheetId="4">'[4]MOW Expenses'!#REF!</definedName>
    <definedName name="PitBallastPerTon" localSheetId="5">'[4]MOW Expenses'!#REF!</definedName>
    <definedName name="PitBallastPerTon" localSheetId="2">'[4]MOW Expenses'!#REF!</definedName>
    <definedName name="PitBallastPerTon">'[4]MOW Expenses'!#REF!</definedName>
    <definedName name="_xlnm.Print_Area" localSheetId="0">'Adopted FY20 Budget Fund'!$A$1:$BI$105</definedName>
    <definedName name="_xlnm.Print_Area" localSheetId="1">'Adopted FY21 Budget Dept'!$A$1:$BC$104</definedName>
    <definedName name="_xlnm.Print_Area" localSheetId="3">'Adopted FY22 Budget'!$A$1:$AW$105</definedName>
    <definedName name="_xlnm.Print_Area" localSheetId="4">'Comparison FY20 v FY22'!#REF!</definedName>
    <definedName name="_xlnm.Print_Area" localSheetId="5">'Comparison FY21 v FY22'!$A$2:$BE$102</definedName>
    <definedName name="_xlnm.Print_Area" localSheetId="2">'Revised FY21 Budget Dept '!$A$1:$BC$104</definedName>
    <definedName name="_xlnm.Print_Titles" localSheetId="0">'Adopted FY20 Budget Fund'!$A:$B</definedName>
    <definedName name="_xlnm.Print_Titles" localSheetId="1">'Adopted FY21 Budget Dept'!$A:$B</definedName>
    <definedName name="_xlnm.Print_Titles" localSheetId="3">'Adopted FY22 Budget'!$A:$B</definedName>
    <definedName name="_xlnm.Print_Titles" localSheetId="4">'Comparison FY20 v FY22'!$A:$A</definedName>
    <definedName name="_xlnm.Print_Titles" localSheetId="5">'Comparison FY21 v FY22'!$A:$A</definedName>
    <definedName name="_xlnm.Print_Titles" localSheetId="2">'Revised FY21 Budget Dept '!$A:$B</definedName>
    <definedName name="rate" localSheetId="0">#REF!</definedName>
    <definedName name="rate" localSheetId="1">#REF!</definedName>
    <definedName name="rate" localSheetId="3">#REF!</definedName>
    <definedName name="rate" localSheetId="4">#REF!</definedName>
    <definedName name="rate" localSheetId="5">#REF!</definedName>
    <definedName name="rate" localSheetId="2">#REF!</definedName>
    <definedName name="rate">#REF!</definedName>
    <definedName name="sum_bud_accts" localSheetId="0">'[3]2009 Revenue Budget'!#REF!</definedName>
    <definedName name="sum_bud_accts" localSheetId="1">'[3]2009 Revenue Budget'!#REF!</definedName>
    <definedName name="sum_bud_accts" localSheetId="3">'[3]2009 Revenue Budget'!#REF!</definedName>
    <definedName name="sum_bud_accts" localSheetId="4">'[3]2009 Revenue Budget'!#REF!</definedName>
    <definedName name="sum_bud_accts" localSheetId="5">'[3]2009 Revenue Budget'!#REF!</definedName>
    <definedName name="sum_bud_accts" localSheetId="2">'[3]2009 Revenue Budget'!#REF!</definedName>
    <definedName name="sum_bud_accts">'[3]2009 Revenue Budget'!#REF!</definedName>
    <definedName name="sw" localSheetId="0">#REF!</definedName>
    <definedName name="sw" localSheetId="1">#REF!</definedName>
    <definedName name="sw" localSheetId="3">#REF!</definedName>
    <definedName name="sw" localSheetId="4">#REF!</definedName>
    <definedName name="sw" localSheetId="5">#REF!</definedName>
    <definedName name="sw" localSheetId="2">#REF!</definedName>
    <definedName name="sw">#REF!</definedName>
    <definedName name="TMDCWages" localSheetId="0">#REF!</definedName>
    <definedName name="TMDCWages" localSheetId="1">#REF!</definedName>
    <definedName name="TMDCWages" localSheetId="3">#REF!</definedName>
    <definedName name="TMDCWages" localSheetId="4">#REF!</definedName>
    <definedName name="TMDCWages" localSheetId="5">#REF!</definedName>
    <definedName name="TMDCWages" localSheetId="2">#REF!</definedName>
    <definedName name="TMDCWages">#REF!</definedName>
    <definedName name="TrackForemanStdRate" localSheetId="0">'[4]MOW Labor'!#REF!</definedName>
    <definedName name="TrackForemanStdRate" localSheetId="1">'[4]MOW Labor'!#REF!</definedName>
    <definedName name="TrackForemanStdRate" localSheetId="3">'[4]MOW Labor'!#REF!</definedName>
    <definedName name="TrackForemanStdRate" localSheetId="4">'[4]MOW Labor'!#REF!</definedName>
    <definedName name="TrackForemanStdRate" localSheetId="5">'[4]MOW Labor'!#REF!</definedName>
    <definedName name="TrackForemanStdRate" localSheetId="2">'[4]MOW Labor'!#REF!</definedName>
    <definedName name="TrackForemanStdRate">'[4]MOW Labor'!#REF!</definedName>
    <definedName name="TrackFormanOTRate" localSheetId="0">'[4]MOW Labor'!#REF!</definedName>
    <definedName name="TrackFormanOTRate" localSheetId="1">'[4]MOW Labor'!#REF!</definedName>
    <definedName name="TrackFormanOTRate" localSheetId="3">'[4]MOW Labor'!#REF!</definedName>
    <definedName name="TrackFormanOTRate" localSheetId="4">'[4]MOW Labor'!#REF!</definedName>
    <definedName name="TrackFormanOTRate" localSheetId="5">'[4]MOW Labor'!#REF!</definedName>
    <definedName name="TrackFormanOTRate" localSheetId="2">'[4]MOW Labor'!#REF!</definedName>
    <definedName name="TrackFormanOTRate">'[4]MOW Labor'!#REF!</definedName>
    <definedName name="TrackmanOTRate" localSheetId="0">'[4]MOW Labor'!#REF!</definedName>
    <definedName name="TrackmanOTRate" localSheetId="1">'[4]MOW Labor'!#REF!</definedName>
    <definedName name="TrackmanOTRate" localSheetId="3">'[4]MOW Labor'!#REF!</definedName>
    <definedName name="TrackmanOTRate" localSheetId="4">'[4]MOW Labor'!#REF!</definedName>
    <definedName name="TrackmanOTRate" localSheetId="5">'[4]MOW Labor'!#REF!</definedName>
    <definedName name="TrackmanOTRate" localSheetId="2">'[4]MOW Labor'!#REF!</definedName>
    <definedName name="TrackmanOTRate">'[4]MOW Labor'!#REF!</definedName>
    <definedName name="TrackmanStdRate" localSheetId="0">'[4]MOW Labor'!#REF!</definedName>
    <definedName name="TrackmanStdRate" localSheetId="1">'[4]MOW Labor'!#REF!</definedName>
    <definedName name="TrackmanStdRate" localSheetId="3">'[4]MOW Labor'!#REF!</definedName>
    <definedName name="TrackmanStdRate" localSheetId="4">'[4]MOW Labor'!#REF!</definedName>
    <definedName name="TrackmanStdRate" localSheetId="5">'[4]MOW Labor'!#REF!</definedName>
    <definedName name="TrackmanStdRate" localSheetId="2">'[4]MOW Labor'!#REF!</definedName>
    <definedName name="TrackmanStdRate">'[4]MOW Labor'!#REF!</definedName>
    <definedName name="TransLead" localSheetId="0">[4]Budget!#REF!</definedName>
    <definedName name="TransLead" localSheetId="1">[4]Budget!#REF!</definedName>
    <definedName name="TransLead" localSheetId="3">[4]Budget!#REF!</definedName>
    <definedName name="TransLead" localSheetId="4">[4]Budget!#REF!</definedName>
    <definedName name="TransLead" localSheetId="5">[4]Budget!#REF!</definedName>
    <definedName name="TransLead" localSheetId="2">[4]Budget!#REF!</definedName>
    <definedName name="TransLead">[4]Budget!#REF!</definedName>
    <definedName name="WheatCarloadConversion" localSheetId="0">#REF!</definedName>
    <definedName name="WheatCarloadConversion" localSheetId="1">#REF!</definedName>
    <definedName name="WheatCarloadConversion" localSheetId="3">#REF!</definedName>
    <definedName name="WheatCarloadConversion" localSheetId="4">#REF!</definedName>
    <definedName name="WheatCarloadConversion" localSheetId="5">#REF!</definedName>
    <definedName name="WheatCarloadConversion" localSheetId="2">#REF!</definedName>
    <definedName name="WheatCarloadCon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10" i="7" l="1"/>
  <c r="AU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O109" i="7"/>
  <c r="AP109" i="7"/>
  <c r="AQ109" i="7"/>
  <c r="AR109" i="7"/>
  <c r="N110" i="7"/>
  <c r="O110" i="7"/>
  <c r="P110" i="7"/>
  <c r="Q110" i="7"/>
  <c r="R110" i="7"/>
  <c r="S110" i="7"/>
  <c r="T110" i="7"/>
  <c r="U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O110" i="7"/>
  <c r="AP110" i="7"/>
  <c r="AQ110" i="7"/>
  <c r="AR110" i="7"/>
  <c r="M110" i="7"/>
  <c r="M109" i="7"/>
  <c r="D109" i="7"/>
  <c r="E109" i="7"/>
  <c r="F109" i="7"/>
  <c r="G109" i="7"/>
  <c r="H109" i="7"/>
  <c r="I109" i="7"/>
  <c r="J109" i="7"/>
  <c r="D110" i="7"/>
  <c r="E110" i="7"/>
  <c r="F110" i="7"/>
  <c r="G110" i="7"/>
  <c r="H110" i="7"/>
  <c r="C110" i="7"/>
  <c r="M111" i="7"/>
  <c r="N111" i="7"/>
  <c r="O111" i="7"/>
  <c r="P111" i="7"/>
  <c r="Q111" i="7"/>
  <c r="R111" i="7"/>
  <c r="S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R111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AK112" i="7"/>
  <c r="AL112" i="7"/>
  <c r="AM112" i="7"/>
  <c r="AN112" i="7"/>
  <c r="AO112" i="7"/>
  <c r="AP112" i="7"/>
  <c r="AR112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AJ113" i="7"/>
  <c r="AK113" i="7"/>
  <c r="AL113" i="7"/>
  <c r="AM113" i="7"/>
  <c r="AN113" i="7"/>
  <c r="AO113" i="7"/>
  <c r="AP113" i="7"/>
  <c r="AQ113" i="7"/>
  <c r="AR113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I114" i="7"/>
  <c r="AJ114" i="7"/>
  <c r="AK114" i="7"/>
  <c r="AL114" i="7"/>
  <c r="AM114" i="7"/>
  <c r="AN114" i="7"/>
  <c r="AO114" i="7"/>
  <c r="AP114" i="7"/>
  <c r="AQ114" i="7"/>
  <c r="AR114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I115" i="7"/>
  <c r="AJ115" i="7"/>
  <c r="AK115" i="7"/>
  <c r="AL115" i="7"/>
  <c r="AM115" i="7"/>
  <c r="AN115" i="7"/>
  <c r="AO115" i="7"/>
  <c r="AP115" i="7"/>
  <c r="AQ115" i="7"/>
  <c r="AR115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I116" i="7"/>
  <c r="AJ116" i="7"/>
  <c r="AK116" i="7"/>
  <c r="AL116" i="7"/>
  <c r="AM116" i="7"/>
  <c r="AN116" i="7"/>
  <c r="AO116" i="7"/>
  <c r="AP116" i="7"/>
  <c r="AQ116" i="7"/>
  <c r="AR116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N117" i="7"/>
  <c r="AO117" i="7"/>
  <c r="AP117" i="7"/>
  <c r="AQ117" i="7"/>
  <c r="AR117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P118" i="7"/>
  <c r="AQ118" i="7"/>
  <c r="AR118" i="7"/>
  <c r="Y119" i="7" l="1"/>
  <c r="X119" i="7"/>
  <c r="AE119" i="7"/>
  <c r="AL119" i="7"/>
  <c r="S119" i="7"/>
  <c r="AO119" i="7"/>
  <c r="AC119" i="7"/>
  <c r="U119" i="7"/>
  <c r="AP119" i="7"/>
  <c r="AB119" i="7"/>
  <c r="AD119" i="7"/>
  <c r="AJ119" i="7"/>
  <c r="Q119" i="7"/>
  <c r="AM119" i="7"/>
  <c r="AA119" i="7"/>
  <c r="M119" i="7"/>
  <c r="AG119" i="7"/>
  <c r="AI119" i="7"/>
  <c r="P119" i="7"/>
  <c r="AF119" i="7"/>
  <c r="AH119" i="7"/>
  <c r="W119" i="7"/>
  <c r="AR119" i="7"/>
  <c r="O119" i="7"/>
  <c r="R119" i="7"/>
  <c r="AK119" i="7"/>
  <c r="Z119" i="7"/>
  <c r="N119" i="7"/>
  <c r="AI81" i="7"/>
  <c r="AJ81" i="7"/>
  <c r="AI23" i="7"/>
  <c r="AJ23" i="7"/>
  <c r="AI6" i="7"/>
  <c r="AJ6" i="7"/>
  <c r="AH108" i="7"/>
  <c r="AH103" i="7"/>
  <c r="AH81" i="7"/>
  <c r="AH23" i="7"/>
  <c r="AH6" i="7"/>
  <c r="AJ83" i="7" l="1"/>
  <c r="AI83" i="7"/>
  <c r="AH83" i="7"/>
  <c r="AW98" i="7" l="1"/>
  <c r="AQ49" i="7" l="1"/>
  <c r="AQ112" i="7" s="1"/>
  <c r="AQ119" i="7" l="1"/>
  <c r="V13" i="7"/>
  <c r="V110" i="7" s="1"/>
  <c r="J13" i="7"/>
  <c r="J110" i="7" s="1"/>
  <c r="I13" i="7"/>
  <c r="I110" i="7" s="1"/>
  <c r="C9" i="7"/>
  <c r="C109" i="7" s="1"/>
  <c r="V119" i="7" l="1"/>
  <c r="AN15" i="7"/>
  <c r="AN110" i="7" s="1"/>
  <c r="AN9" i="7"/>
  <c r="AN109" i="7" s="1"/>
  <c r="AN119" i="7" l="1"/>
  <c r="H42" i="7"/>
  <c r="K42" i="7" s="1"/>
  <c r="H47" i="7"/>
  <c r="K47" i="7" s="1"/>
  <c r="H35" i="7"/>
  <c r="K35" i="7" s="1"/>
  <c r="H34" i="7"/>
  <c r="K34" i="7" s="1"/>
  <c r="T33" i="7"/>
  <c r="H31" i="7"/>
  <c r="H26" i="7"/>
  <c r="K26" i="7" s="1"/>
  <c r="T31" i="7"/>
  <c r="AU31" i="7"/>
  <c r="AU111" i="7" s="1"/>
  <c r="F31" i="7"/>
  <c r="F111" i="7" s="1"/>
  <c r="J31" i="7"/>
  <c r="J81" i="7" s="1"/>
  <c r="AU118" i="7"/>
  <c r="J118" i="7"/>
  <c r="I118" i="7"/>
  <c r="H118" i="7"/>
  <c r="G118" i="7"/>
  <c r="F118" i="7"/>
  <c r="E118" i="7"/>
  <c r="D118" i="7"/>
  <c r="C118" i="7"/>
  <c r="AU117" i="7"/>
  <c r="J117" i="7"/>
  <c r="I117" i="7"/>
  <c r="H117" i="7"/>
  <c r="G117" i="7"/>
  <c r="F117" i="7"/>
  <c r="E117" i="7"/>
  <c r="D117" i="7"/>
  <c r="C117" i="7"/>
  <c r="AU116" i="7"/>
  <c r="J116" i="7"/>
  <c r="I116" i="7"/>
  <c r="H116" i="7"/>
  <c r="G116" i="7"/>
  <c r="F116" i="7"/>
  <c r="E116" i="7"/>
  <c r="D116" i="7"/>
  <c r="C116" i="7"/>
  <c r="AU115" i="7"/>
  <c r="J115" i="7"/>
  <c r="I115" i="7"/>
  <c r="H115" i="7"/>
  <c r="G115" i="7"/>
  <c r="F115" i="7"/>
  <c r="E115" i="7"/>
  <c r="D115" i="7"/>
  <c r="C115" i="7"/>
  <c r="AU114" i="7"/>
  <c r="J114" i="7"/>
  <c r="I114" i="7"/>
  <c r="H114" i="7"/>
  <c r="G114" i="7"/>
  <c r="F114" i="7"/>
  <c r="E114" i="7"/>
  <c r="D114" i="7"/>
  <c r="C114" i="7"/>
  <c r="AU113" i="7"/>
  <c r="J113" i="7"/>
  <c r="I113" i="7"/>
  <c r="H113" i="7"/>
  <c r="G113" i="7"/>
  <c r="F113" i="7"/>
  <c r="E113" i="7"/>
  <c r="D113" i="7"/>
  <c r="C113" i="7"/>
  <c r="AU112" i="7"/>
  <c r="J112" i="7"/>
  <c r="I112" i="7"/>
  <c r="G112" i="7"/>
  <c r="F112" i="7"/>
  <c r="E112" i="7"/>
  <c r="D112" i="7"/>
  <c r="C112" i="7"/>
  <c r="I111" i="7"/>
  <c r="G111" i="7"/>
  <c r="E111" i="7"/>
  <c r="D111" i="7"/>
  <c r="C111" i="7"/>
  <c r="AU108" i="7"/>
  <c r="AS108" i="7"/>
  <c r="AR108" i="7"/>
  <c r="AQ108" i="7"/>
  <c r="AP108" i="7"/>
  <c r="AO108" i="7"/>
  <c r="AN108" i="7"/>
  <c r="AM108" i="7"/>
  <c r="AL108" i="7"/>
  <c r="AK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K108" i="7"/>
  <c r="J108" i="7"/>
  <c r="I108" i="7"/>
  <c r="H108" i="7"/>
  <c r="G108" i="7"/>
  <c r="F108" i="7"/>
  <c r="E108" i="7"/>
  <c r="D108" i="7"/>
  <c r="C108" i="7"/>
  <c r="AU103" i="7"/>
  <c r="AR103" i="7"/>
  <c r="AQ103" i="7"/>
  <c r="AP103" i="7"/>
  <c r="AO103" i="7"/>
  <c r="AN103" i="7"/>
  <c r="AM103" i="7"/>
  <c r="AL103" i="7"/>
  <c r="AK103" i="7"/>
  <c r="AG103" i="7"/>
  <c r="AF103" i="7"/>
  <c r="AE103" i="7"/>
  <c r="AD103" i="7"/>
  <c r="AC103" i="7"/>
  <c r="AB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J103" i="7"/>
  <c r="I103" i="7"/>
  <c r="H103" i="7"/>
  <c r="G103" i="7"/>
  <c r="F103" i="7"/>
  <c r="E103" i="7"/>
  <c r="D103" i="7"/>
  <c r="C103" i="7"/>
  <c r="AS102" i="7"/>
  <c r="K102" i="7"/>
  <c r="AS101" i="7"/>
  <c r="K101" i="7"/>
  <c r="AS100" i="7"/>
  <c r="K100" i="7"/>
  <c r="AS99" i="7"/>
  <c r="K99" i="7"/>
  <c r="AS97" i="7"/>
  <c r="K97" i="7"/>
  <c r="AS96" i="7"/>
  <c r="K96" i="7"/>
  <c r="AS95" i="7"/>
  <c r="K95" i="7"/>
  <c r="AS94" i="7"/>
  <c r="K94" i="7"/>
  <c r="AS93" i="7"/>
  <c r="K93" i="7"/>
  <c r="AS92" i="7"/>
  <c r="K92" i="7"/>
  <c r="AS91" i="7"/>
  <c r="K91" i="7"/>
  <c r="AS90" i="7"/>
  <c r="K90" i="7"/>
  <c r="AS89" i="7"/>
  <c r="K89" i="7"/>
  <c r="AS88" i="7"/>
  <c r="K88" i="7"/>
  <c r="AS87" i="7"/>
  <c r="K87" i="7"/>
  <c r="AS86" i="7"/>
  <c r="K86" i="7"/>
  <c r="AR81" i="7"/>
  <c r="AP81" i="7"/>
  <c r="AO81" i="7"/>
  <c r="AN81" i="7"/>
  <c r="AM81" i="7"/>
  <c r="AL81" i="7"/>
  <c r="AK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S81" i="7"/>
  <c r="R81" i="7"/>
  <c r="Q81" i="7"/>
  <c r="P81" i="7"/>
  <c r="O81" i="7"/>
  <c r="N81" i="7"/>
  <c r="M81" i="7"/>
  <c r="I81" i="7"/>
  <c r="G81" i="7"/>
  <c r="E81" i="7"/>
  <c r="D81" i="7"/>
  <c r="C81" i="7"/>
  <c r="AS80" i="7"/>
  <c r="K80" i="7"/>
  <c r="AS79" i="7"/>
  <c r="K79" i="7"/>
  <c r="AS78" i="7"/>
  <c r="K78" i="7"/>
  <c r="AS77" i="7"/>
  <c r="K77" i="7"/>
  <c r="AS76" i="7"/>
  <c r="K76" i="7"/>
  <c r="AS75" i="7"/>
  <c r="K75" i="7"/>
  <c r="AS74" i="7"/>
  <c r="K74" i="7"/>
  <c r="AS73" i="7"/>
  <c r="K73" i="7"/>
  <c r="AS72" i="7"/>
  <c r="AS117" i="7" s="1"/>
  <c r="K72" i="7"/>
  <c r="K117" i="7" s="1"/>
  <c r="AS71" i="7"/>
  <c r="K71" i="7"/>
  <c r="AS70" i="7"/>
  <c r="K70" i="7"/>
  <c r="AS69" i="7"/>
  <c r="K69" i="7"/>
  <c r="AS68" i="7"/>
  <c r="K68" i="7"/>
  <c r="AS67" i="7"/>
  <c r="K67" i="7"/>
  <c r="AS66" i="7"/>
  <c r="K66" i="7"/>
  <c r="AS65" i="7"/>
  <c r="K65" i="7"/>
  <c r="AS64" i="7"/>
  <c r="K64" i="7"/>
  <c r="AS63" i="7"/>
  <c r="AS115" i="7" s="1"/>
  <c r="K63" i="7"/>
  <c r="K115" i="7" s="1"/>
  <c r="AS62" i="7"/>
  <c r="K62" i="7"/>
  <c r="AS61" i="7"/>
  <c r="K61" i="7"/>
  <c r="AS60" i="7"/>
  <c r="K60" i="7"/>
  <c r="AS59" i="7"/>
  <c r="K59" i="7"/>
  <c r="AS58" i="7"/>
  <c r="K58" i="7"/>
  <c r="AS57" i="7"/>
  <c r="K57" i="7"/>
  <c r="AS56" i="7"/>
  <c r="K56" i="7"/>
  <c r="AS55" i="7"/>
  <c r="K55" i="7"/>
  <c r="AS54" i="7"/>
  <c r="K54" i="7"/>
  <c r="AS53" i="7"/>
  <c r="K53" i="7"/>
  <c r="AS52" i="7"/>
  <c r="K52" i="7"/>
  <c r="AS51" i="7"/>
  <c r="K51" i="7"/>
  <c r="AS50" i="7"/>
  <c r="K50" i="7"/>
  <c r="K49" i="7"/>
  <c r="AS48" i="7"/>
  <c r="K48" i="7"/>
  <c r="AS47" i="7"/>
  <c r="AS46" i="7"/>
  <c r="K46" i="7"/>
  <c r="AS45" i="7"/>
  <c r="K45" i="7"/>
  <c r="AS44" i="7"/>
  <c r="K44" i="7"/>
  <c r="AS43" i="7"/>
  <c r="K43" i="7"/>
  <c r="AS42" i="7"/>
  <c r="AS41" i="7"/>
  <c r="K41" i="7"/>
  <c r="AS40" i="7"/>
  <c r="K40" i="7"/>
  <c r="AS39" i="7"/>
  <c r="K39" i="7"/>
  <c r="AS38" i="7"/>
  <c r="K38" i="7"/>
  <c r="AS37" i="7"/>
  <c r="K37" i="7"/>
  <c r="AS36" i="7"/>
  <c r="K36" i="7"/>
  <c r="AS35" i="7"/>
  <c r="AS34" i="7"/>
  <c r="AS33" i="7"/>
  <c r="K33" i="7"/>
  <c r="AS32" i="7"/>
  <c r="K32" i="7"/>
  <c r="AS30" i="7"/>
  <c r="K30" i="7"/>
  <c r="AS29" i="7"/>
  <c r="K29" i="7"/>
  <c r="AS28" i="7"/>
  <c r="K28" i="7"/>
  <c r="AS27" i="7"/>
  <c r="K27" i="7"/>
  <c r="AS26" i="7"/>
  <c r="AS25" i="7"/>
  <c r="K25" i="7"/>
  <c r="AU23" i="7"/>
  <c r="AR23" i="7"/>
  <c r="AQ23" i="7"/>
  <c r="AP23" i="7"/>
  <c r="AO23" i="7"/>
  <c r="AN23" i="7"/>
  <c r="AM23" i="7"/>
  <c r="AL23" i="7"/>
  <c r="AK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J23" i="7"/>
  <c r="I23" i="7"/>
  <c r="H23" i="7"/>
  <c r="G23" i="7"/>
  <c r="F23" i="7"/>
  <c r="E23" i="7"/>
  <c r="D23" i="7"/>
  <c r="C23" i="7"/>
  <c r="AS22" i="7"/>
  <c r="K22" i="7"/>
  <c r="AS21" i="7"/>
  <c r="K21" i="7"/>
  <c r="AS20" i="7"/>
  <c r="K20" i="7"/>
  <c r="AS19" i="7"/>
  <c r="K19" i="7"/>
  <c r="AS18" i="7"/>
  <c r="K18" i="7"/>
  <c r="AS17" i="7"/>
  <c r="K17" i="7"/>
  <c r="AS16" i="7"/>
  <c r="K16" i="7"/>
  <c r="AS15" i="7"/>
  <c r="K15" i="7"/>
  <c r="AS14" i="7"/>
  <c r="K14" i="7"/>
  <c r="AS13" i="7"/>
  <c r="K13" i="7"/>
  <c r="AS12" i="7"/>
  <c r="K12" i="7"/>
  <c r="AS11" i="7"/>
  <c r="K11" i="7"/>
  <c r="AS10" i="7"/>
  <c r="K10" i="7"/>
  <c r="AS9" i="7"/>
  <c r="K9" i="7"/>
  <c r="AU6" i="7"/>
  <c r="AQ6" i="7"/>
  <c r="AO6" i="7"/>
  <c r="AM6" i="7"/>
  <c r="AK6" i="7"/>
  <c r="AF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J6" i="7"/>
  <c r="I6" i="7"/>
  <c r="H6" i="7"/>
  <c r="G6" i="7"/>
  <c r="F6" i="7"/>
  <c r="E6" i="7"/>
  <c r="D6" i="7"/>
  <c r="C6" i="7"/>
  <c r="AS4" i="7"/>
  <c r="K4" i="7"/>
  <c r="AS3" i="7"/>
  <c r="K3" i="7"/>
  <c r="AS2" i="7"/>
  <c r="K2" i="7"/>
  <c r="T111" i="7" l="1"/>
  <c r="F81" i="7"/>
  <c r="F83" i="7" s="1"/>
  <c r="AS31" i="7"/>
  <c r="AS111" i="7" s="1"/>
  <c r="AW94" i="7"/>
  <c r="K110" i="7"/>
  <c r="AW60" i="7"/>
  <c r="AW66" i="7"/>
  <c r="AS110" i="7"/>
  <c r="K116" i="7"/>
  <c r="K109" i="7"/>
  <c r="AS109" i="7"/>
  <c r="AW97" i="7"/>
  <c r="AW45" i="7"/>
  <c r="AW36" i="7"/>
  <c r="AW39" i="7"/>
  <c r="AW33" i="7"/>
  <c r="AW99" i="7"/>
  <c r="AW27" i="7"/>
  <c r="AW68" i="7"/>
  <c r="AW74" i="7"/>
  <c r="AW41" i="7"/>
  <c r="AW58" i="7"/>
  <c r="AU81" i="7"/>
  <c r="AU83" i="7" s="1"/>
  <c r="AW101" i="7"/>
  <c r="T119" i="7"/>
  <c r="AW40" i="7"/>
  <c r="AW43" i="7"/>
  <c r="AS103" i="7"/>
  <c r="AW30" i="7"/>
  <c r="AW50" i="7"/>
  <c r="AW25" i="7"/>
  <c r="H112" i="7"/>
  <c r="AW32" i="7"/>
  <c r="K31" i="7"/>
  <c r="K111" i="7" s="1"/>
  <c r="AW69" i="7"/>
  <c r="AW93" i="7"/>
  <c r="AW96" i="7"/>
  <c r="AW11" i="7"/>
  <c r="AW72" i="7"/>
  <c r="AW77" i="7"/>
  <c r="AW88" i="7"/>
  <c r="AW52" i="7"/>
  <c r="AW86" i="7"/>
  <c r="AW89" i="7"/>
  <c r="AW46" i="7"/>
  <c r="K113" i="7"/>
  <c r="Q83" i="7"/>
  <c r="AW79" i="7"/>
  <c r="AW28" i="7"/>
  <c r="AW65" i="7"/>
  <c r="S83" i="7"/>
  <c r="AP83" i="7"/>
  <c r="AW90" i="7"/>
  <c r="AR83" i="7"/>
  <c r="AW56" i="7"/>
  <c r="AW70" i="7"/>
  <c r="AW100" i="7"/>
  <c r="AW54" i="7"/>
  <c r="AW75" i="7"/>
  <c r="AW3" i="7"/>
  <c r="AW37" i="7"/>
  <c r="AW44" i="7"/>
  <c r="AW47" i="7"/>
  <c r="AW29" i="7"/>
  <c r="AW59" i="7"/>
  <c r="AW80" i="7"/>
  <c r="AW78" i="7"/>
  <c r="K114" i="7"/>
  <c r="AW64" i="7"/>
  <c r="O83" i="7"/>
  <c r="AW95" i="7"/>
  <c r="AW38" i="7"/>
  <c r="AW53" i="7"/>
  <c r="AW62" i="7"/>
  <c r="AW76" i="7"/>
  <c r="AW57" i="7"/>
  <c r="AS116" i="7"/>
  <c r="AW91" i="7"/>
  <c r="AS113" i="7"/>
  <c r="AW73" i="7"/>
  <c r="AW71" i="7"/>
  <c r="AW67" i="7"/>
  <c r="AW92" i="7"/>
  <c r="AW87" i="7"/>
  <c r="AW102" i="7"/>
  <c r="AO83" i="7"/>
  <c r="AK83" i="7"/>
  <c r="F119" i="7"/>
  <c r="J83" i="7"/>
  <c r="G119" i="7"/>
  <c r="C83" i="7"/>
  <c r="Y83" i="7"/>
  <c r="AM83" i="7"/>
  <c r="D83" i="7"/>
  <c r="I119" i="7"/>
  <c r="AA83" i="7"/>
  <c r="AB83" i="7"/>
  <c r="U83" i="7"/>
  <c r="AD83" i="7"/>
  <c r="M83" i="7"/>
  <c r="C119" i="7"/>
  <c r="W83" i="7"/>
  <c r="AF83" i="7"/>
  <c r="E83" i="7"/>
  <c r="E119" i="7"/>
  <c r="K103" i="7"/>
  <c r="AS118" i="7"/>
  <c r="D119" i="7"/>
  <c r="K118" i="7"/>
  <c r="AS114" i="7"/>
  <c r="AW63" i="7"/>
  <c r="R83" i="7"/>
  <c r="P83" i="7"/>
  <c r="AW4" i="7"/>
  <c r="N83" i="7"/>
  <c r="AS6" i="7"/>
  <c r="AW48" i="7"/>
  <c r="AL83" i="7"/>
  <c r="AG83" i="7"/>
  <c r="AE83" i="7"/>
  <c r="AC83" i="7"/>
  <c r="AW17" i="7"/>
  <c r="AW12" i="7"/>
  <c r="Z83" i="7"/>
  <c r="AW19" i="7"/>
  <c r="AW16" i="7"/>
  <c r="AW10" i="7"/>
  <c r="X83" i="7"/>
  <c r="AW61" i="7"/>
  <c r="AW35" i="7"/>
  <c r="AW2" i="7"/>
  <c r="AW22" i="7"/>
  <c r="AW21" i="7"/>
  <c r="AW18" i="7"/>
  <c r="AW15" i="7"/>
  <c r="AW14" i="7"/>
  <c r="V83" i="7"/>
  <c r="I83" i="7"/>
  <c r="G83" i="7"/>
  <c r="AS23" i="7"/>
  <c r="AW9" i="7"/>
  <c r="AN83" i="7"/>
  <c r="K112" i="7"/>
  <c r="AW42" i="7"/>
  <c r="H81" i="7"/>
  <c r="H83" i="7" s="1"/>
  <c r="AW34" i="7"/>
  <c r="H111" i="7"/>
  <c r="AW26" i="7"/>
  <c r="AU119" i="7"/>
  <c r="T81" i="7"/>
  <c r="T83" i="7" s="1"/>
  <c r="K81" i="7"/>
  <c r="J111" i="7"/>
  <c r="AW117" i="7"/>
  <c r="AW51" i="7"/>
  <c r="AW55" i="7"/>
  <c r="AW115" i="7"/>
  <c r="AW13" i="7"/>
  <c r="AW20" i="7"/>
  <c r="K23" i="7"/>
  <c r="K6" i="7"/>
  <c r="AS49" i="7"/>
  <c r="AQ81" i="7"/>
  <c r="AQ83" i="7" s="1"/>
  <c r="AW31" i="7" l="1"/>
  <c r="AS81" i="7"/>
  <c r="AS83" i="7" s="1"/>
  <c r="AW113" i="7"/>
  <c r="AW116" i="7"/>
  <c r="AW110" i="7"/>
  <c r="AW109" i="7"/>
  <c r="AW103" i="7"/>
  <c r="AW118" i="7"/>
  <c r="AU105" i="7"/>
  <c r="AW6" i="7"/>
  <c r="H119" i="7"/>
  <c r="J119" i="7"/>
  <c r="AW114" i="7"/>
  <c r="AS112" i="7"/>
  <c r="AW49" i="7"/>
  <c r="K119" i="7"/>
  <c r="AW23" i="7"/>
  <c r="K83" i="7"/>
  <c r="AW111" i="7"/>
  <c r="AW81" i="7" l="1"/>
  <c r="AW83" i="7" s="1"/>
  <c r="AW106" i="7" s="1"/>
  <c r="K105" i="7"/>
  <c r="AS105" i="7"/>
  <c r="AS119" i="7"/>
  <c r="AW112" i="7"/>
  <c r="AW119" i="7" l="1"/>
  <c r="AW105" i="7"/>
  <c r="D128" i="4" l="1"/>
  <c r="E116" i="4"/>
  <c r="C116" i="4"/>
  <c r="D116" i="4"/>
  <c r="B116" i="4"/>
  <c r="C115" i="4"/>
  <c r="D115" i="4"/>
  <c r="B115" i="4"/>
  <c r="C113" i="4"/>
  <c r="D113" i="4"/>
  <c r="B113" i="4"/>
  <c r="C111" i="4"/>
  <c r="D111" i="4"/>
  <c r="B111" i="4"/>
  <c r="C109" i="4"/>
  <c r="D109" i="4"/>
  <c r="B109" i="4"/>
  <c r="E110" i="4" l="1"/>
  <c r="U56" i="6" l="1"/>
  <c r="U58" i="6"/>
  <c r="U59" i="6"/>
  <c r="U60" i="6"/>
  <c r="U61" i="6"/>
  <c r="U62" i="6"/>
  <c r="U63" i="6"/>
  <c r="U55" i="6"/>
  <c r="U52" i="6"/>
  <c r="U51" i="6"/>
  <c r="T56" i="6"/>
  <c r="T58" i="6"/>
  <c r="T59" i="6"/>
  <c r="T60" i="6"/>
  <c r="T61" i="6"/>
  <c r="T62" i="6"/>
  <c r="T63" i="6"/>
  <c r="T55" i="6"/>
  <c r="T52" i="6"/>
  <c r="T51" i="6"/>
  <c r="T53" i="6" s="1"/>
  <c r="AE56" i="6"/>
  <c r="AE57" i="6"/>
  <c r="AF57" i="6" s="1"/>
  <c r="AE58" i="6"/>
  <c r="AE59" i="6"/>
  <c r="AE60" i="6"/>
  <c r="AE61" i="6"/>
  <c r="AE62" i="6"/>
  <c r="AE63" i="6"/>
  <c r="AE55" i="6"/>
  <c r="AE52" i="6"/>
  <c r="AE51" i="6"/>
  <c r="AD56" i="6"/>
  <c r="AF56" i="6" s="1"/>
  <c r="AD57" i="6"/>
  <c r="AD58" i="6"/>
  <c r="AD59" i="6"/>
  <c r="AD60" i="6"/>
  <c r="AD61" i="6"/>
  <c r="AD62" i="6"/>
  <c r="AD63" i="6"/>
  <c r="AD55" i="6"/>
  <c r="AD52" i="6"/>
  <c r="AD51" i="6"/>
  <c r="AD53" i="6" s="1"/>
  <c r="AC56" i="6"/>
  <c r="AC57" i="6"/>
  <c r="AC58" i="6"/>
  <c r="AC59" i="6"/>
  <c r="AC60" i="6"/>
  <c r="AC61" i="6"/>
  <c r="AC62" i="6"/>
  <c r="AC63" i="6"/>
  <c r="AC55" i="6"/>
  <c r="AC52" i="6"/>
  <c r="AC53" i="6" s="1"/>
  <c r="AC51" i="6"/>
  <c r="AB56" i="6"/>
  <c r="AB57" i="6"/>
  <c r="AB58" i="6"/>
  <c r="AB59" i="6"/>
  <c r="AB60" i="6"/>
  <c r="AB61" i="6"/>
  <c r="AB62" i="6"/>
  <c r="AB63" i="6"/>
  <c r="AB55" i="6"/>
  <c r="AB52" i="6"/>
  <c r="AB51" i="6"/>
  <c r="AB53" i="6"/>
  <c r="S56" i="6"/>
  <c r="S57" i="6"/>
  <c r="S58" i="6"/>
  <c r="S59" i="6"/>
  <c r="S60" i="6"/>
  <c r="S61" i="6"/>
  <c r="S62" i="6"/>
  <c r="S63" i="6"/>
  <c r="S55" i="6"/>
  <c r="S52" i="6"/>
  <c r="S51" i="6"/>
  <c r="R56" i="6"/>
  <c r="R57" i="6"/>
  <c r="R58" i="6"/>
  <c r="R59" i="6"/>
  <c r="R60" i="6"/>
  <c r="R61" i="6"/>
  <c r="R62" i="6"/>
  <c r="R63" i="6"/>
  <c r="R55" i="6"/>
  <c r="R52" i="6"/>
  <c r="R51" i="6"/>
  <c r="R53" i="6" s="1"/>
  <c r="V59" i="6"/>
  <c r="S53" i="6"/>
  <c r="K56" i="6"/>
  <c r="K57" i="6"/>
  <c r="K58" i="6"/>
  <c r="K59" i="6"/>
  <c r="K60" i="6"/>
  <c r="K61" i="6"/>
  <c r="K62" i="6"/>
  <c r="K63" i="6"/>
  <c r="K55" i="6"/>
  <c r="K52" i="6"/>
  <c r="K51" i="6"/>
  <c r="J56" i="6"/>
  <c r="J57" i="6"/>
  <c r="J58" i="6"/>
  <c r="J59" i="6"/>
  <c r="J60" i="6"/>
  <c r="J61" i="6"/>
  <c r="J62" i="6"/>
  <c r="J63" i="6"/>
  <c r="J55" i="6"/>
  <c r="J52" i="6"/>
  <c r="J51" i="6"/>
  <c r="J37" i="6"/>
  <c r="J38" i="6"/>
  <c r="J39" i="6"/>
  <c r="J40" i="6"/>
  <c r="J41" i="6"/>
  <c r="J42" i="6"/>
  <c r="J43" i="6"/>
  <c r="J44" i="6"/>
  <c r="J36" i="6"/>
  <c r="J33" i="6"/>
  <c r="J32" i="6"/>
  <c r="J34" i="6" s="1"/>
  <c r="I37" i="6"/>
  <c r="I38" i="6"/>
  <c r="I39" i="6"/>
  <c r="I40" i="6"/>
  <c r="I41" i="6"/>
  <c r="I42" i="6"/>
  <c r="I43" i="6"/>
  <c r="I44" i="6"/>
  <c r="I36" i="6"/>
  <c r="I33" i="6"/>
  <c r="I32" i="6"/>
  <c r="H33" i="6"/>
  <c r="H32" i="6"/>
  <c r="H34" i="6" s="1"/>
  <c r="G33" i="6"/>
  <c r="G32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H36" i="6"/>
  <c r="G36" i="6"/>
  <c r="BU115" i="5"/>
  <c r="BT115" i="5"/>
  <c r="BR115" i="5"/>
  <c r="BQ115" i="5"/>
  <c r="BS115" i="5" s="1"/>
  <c r="BU114" i="5"/>
  <c r="BR114" i="5"/>
  <c r="BQ114" i="5"/>
  <c r="BT114" i="5" s="1"/>
  <c r="BU113" i="5"/>
  <c r="BT113" i="5"/>
  <c r="BS113" i="5"/>
  <c r="BR113" i="5"/>
  <c r="BQ113" i="5"/>
  <c r="BU112" i="5"/>
  <c r="BS112" i="5"/>
  <c r="BR112" i="5"/>
  <c r="BQ112" i="5"/>
  <c r="BT112" i="5" s="1"/>
  <c r="BU111" i="5"/>
  <c r="BS111" i="5"/>
  <c r="BR111" i="5"/>
  <c r="BQ111" i="5"/>
  <c r="BT111" i="5" s="1"/>
  <c r="BU110" i="5"/>
  <c r="BT110" i="5"/>
  <c r="BR110" i="5"/>
  <c r="BS110" i="5" s="1"/>
  <c r="BQ110" i="5"/>
  <c r="BU109" i="5"/>
  <c r="BR109" i="5"/>
  <c r="BQ109" i="5"/>
  <c r="BT109" i="5" s="1"/>
  <c r="BU108" i="5"/>
  <c r="BU116" i="5" s="1"/>
  <c r="BT108" i="5"/>
  <c r="BR108" i="5"/>
  <c r="BS108" i="5" s="1"/>
  <c r="BQ108" i="5"/>
  <c r="BU107" i="5"/>
  <c r="BT107" i="5"/>
  <c r="BT116" i="5" s="1"/>
  <c r="BR107" i="5"/>
  <c r="BR116" i="5" s="1"/>
  <c r="BQ107" i="5"/>
  <c r="BS107" i="5" s="1"/>
  <c r="B75" i="6"/>
  <c r="B76" i="6"/>
  <c r="B77" i="6"/>
  <c r="B78" i="6"/>
  <c r="B79" i="6"/>
  <c r="B80" i="6"/>
  <c r="B81" i="6"/>
  <c r="BK56" i="6"/>
  <c r="BL56" i="6"/>
  <c r="BK57" i="6"/>
  <c r="BL57" i="6"/>
  <c r="BK58" i="6"/>
  <c r="BL58" i="6"/>
  <c r="BK59" i="6"/>
  <c r="BL59" i="6"/>
  <c r="BK60" i="6"/>
  <c r="BL60" i="6"/>
  <c r="BK61" i="6"/>
  <c r="BL61" i="6"/>
  <c r="BK62" i="6"/>
  <c r="BL62" i="6"/>
  <c r="BK63" i="6"/>
  <c r="BL63" i="6"/>
  <c r="BF56" i="6"/>
  <c r="BG56" i="6"/>
  <c r="BF57" i="6"/>
  <c r="BG57" i="6"/>
  <c r="BF58" i="6"/>
  <c r="BG58" i="6"/>
  <c r="BF59" i="6"/>
  <c r="BG59" i="6"/>
  <c r="BF60" i="6"/>
  <c r="BG60" i="6"/>
  <c r="BF61" i="6"/>
  <c r="BG61" i="6"/>
  <c r="BF62" i="6"/>
  <c r="BG62" i="6"/>
  <c r="BF63" i="6"/>
  <c r="BG63" i="6"/>
  <c r="BA56" i="6"/>
  <c r="BB56" i="6"/>
  <c r="BA57" i="6"/>
  <c r="BB57" i="6"/>
  <c r="BA58" i="6"/>
  <c r="BB58" i="6"/>
  <c r="BA59" i="6"/>
  <c r="BB59" i="6"/>
  <c r="BA60" i="6"/>
  <c r="BB60" i="6"/>
  <c r="BA61" i="6"/>
  <c r="BB61" i="6"/>
  <c r="BA62" i="6"/>
  <c r="BB62" i="6"/>
  <c r="BA63" i="6"/>
  <c r="BB63" i="6"/>
  <c r="AV56" i="6"/>
  <c r="AW56" i="6"/>
  <c r="AV57" i="6"/>
  <c r="AW57" i="6"/>
  <c r="AV58" i="6"/>
  <c r="AW58" i="6"/>
  <c r="AV59" i="6"/>
  <c r="AW59" i="6"/>
  <c r="AV60" i="6"/>
  <c r="AW60" i="6"/>
  <c r="AV61" i="6"/>
  <c r="AW61" i="6"/>
  <c r="AV62" i="6"/>
  <c r="AW62" i="6"/>
  <c r="AV63" i="6"/>
  <c r="AW63" i="6"/>
  <c r="AQ56" i="6"/>
  <c r="AR56" i="6"/>
  <c r="AQ57" i="6"/>
  <c r="AR57" i="6"/>
  <c r="AQ58" i="6"/>
  <c r="AR58" i="6"/>
  <c r="AQ59" i="6"/>
  <c r="AR59" i="6"/>
  <c r="AQ60" i="6"/>
  <c r="AR60" i="6"/>
  <c r="AQ61" i="6"/>
  <c r="AR61" i="6"/>
  <c r="AQ62" i="6"/>
  <c r="AR62" i="6"/>
  <c r="AQ63" i="6"/>
  <c r="AR63" i="6"/>
  <c r="AL56" i="6"/>
  <c r="AM56" i="6"/>
  <c r="AL57" i="6"/>
  <c r="AM57" i="6"/>
  <c r="AL58" i="6"/>
  <c r="AM58" i="6"/>
  <c r="AL59" i="6"/>
  <c r="AM59" i="6"/>
  <c r="AL60" i="6"/>
  <c r="AM60" i="6"/>
  <c r="AL61" i="6"/>
  <c r="AM61" i="6"/>
  <c r="AL62" i="6"/>
  <c r="AM62" i="6"/>
  <c r="AL63" i="6"/>
  <c r="AM63" i="6"/>
  <c r="AG56" i="6"/>
  <c r="AH56" i="6"/>
  <c r="AG57" i="6"/>
  <c r="AH57" i="6"/>
  <c r="AG58" i="6"/>
  <c r="AH58" i="6"/>
  <c r="AG59" i="6"/>
  <c r="AH59" i="6"/>
  <c r="AG60" i="6"/>
  <c r="AH60" i="6"/>
  <c r="AG61" i="6"/>
  <c r="AH61" i="6"/>
  <c r="AG62" i="6"/>
  <c r="AH62" i="6"/>
  <c r="AG63" i="6"/>
  <c r="AH63" i="6"/>
  <c r="W56" i="6"/>
  <c r="X56" i="6"/>
  <c r="W57" i="6"/>
  <c r="X57" i="6"/>
  <c r="W58" i="6"/>
  <c r="X58" i="6"/>
  <c r="W59" i="6"/>
  <c r="X59" i="6"/>
  <c r="W60" i="6"/>
  <c r="X60" i="6"/>
  <c r="W61" i="6"/>
  <c r="X61" i="6"/>
  <c r="W62" i="6"/>
  <c r="X62" i="6"/>
  <c r="W63" i="6"/>
  <c r="X63" i="6"/>
  <c r="M56" i="6"/>
  <c r="N56" i="6"/>
  <c r="M57" i="6"/>
  <c r="N57" i="6"/>
  <c r="M58" i="6"/>
  <c r="N58" i="6"/>
  <c r="M59" i="6"/>
  <c r="N59" i="6"/>
  <c r="M60" i="6"/>
  <c r="N60" i="6"/>
  <c r="M61" i="6"/>
  <c r="N61" i="6"/>
  <c r="M62" i="6"/>
  <c r="N62" i="6"/>
  <c r="M63" i="6"/>
  <c r="N63" i="6"/>
  <c r="G56" i="6"/>
  <c r="BP56" i="6" s="1"/>
  <c r="G57" i="6"/>
  <c r="G58" i="6"/>
  <c r="BP58" i="6" s="1"/>
  <c r="G59" i="6"/>
  <c r="G60" i="6"/>
  <c r="BP60" i="6" s="1"/>
  <c r="G61" i="6"/>
  <c r="G62" i="6"/>
  <c r="G63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V37" i="6"/>
  <c r="V38" i="6"/>
  <c r="V39" i="6"/>
  <c r="V40" i="6"/>
  <c r="V41" i="6"/>
  <c r="V42" i="6"/>
  <c r="V43" i="6"/>
  <c r="V44" i="6"/>
  <c r="Q37" i="6"/>
  <c r="R37" i="6"/>
  <c r="Q38" i="6"/>
  <c r="R38" i="6"/>
  <c r="Q39" i="6"/>
  <c r="R39" i="6"/>
  <c r="Q40" i="6"/>
  <c r="R40" i="6"/>
  <c r="Q41" i="6"/>
  <c r="R41" i="6"/>
  <c r="Q42" i="6"/>
  <c r="R42" i="6"/>
  <c r="Q43" i="6"/>
  <c r="R43" i="6"/>
  <c r="Q44" i="6"/>
  <c r="R44" i="6"/>
  <c r="L37" i="6"/>
  <c r="M37" i="6"/>
  <c r="L38" i="6"/>
  <c r="M38" i="6"/>
  <c r="L39" i="6"/>
  <c r="M39" i="6"/>
  <c r="L40" i="6"/>
  <c r="M40" i="6"/>
  <c r="L41" i="6"/>
  <c r="M41" i="6"/>
  <c r="L42" i="6"/>
  <c r="M42" i="6"/>
  <c r="L43" i="6"/>
  <c r="M43" i="6"/>
  <c r="L44" i="6"/>
  <c r="M44" i="6"/>
  <c r="C37" i="6"/>
  <c r="C38" i="6"/>
  <c r="C39" i="6"/>
  <c r="C40" i="6"/>
  <c r="C41" i="6"/>
  <c r="C42" i="6"/>
  <c r="C43" i="6"/>
  <c r="C44" i="6"/>
  <c r="B37" i="6"/>
  <c r="B38" i="6"/>
  <c r="B39" i="6"/>
  <c r="B40" i="6"/>
  <c r="B41" i="6"/>
  <c r="B42" i="6"/>
  <c r="B43" i="6"/>
  <c r="B44" i="6"/>
  <c r="Z18" i="6"/>
  <c r="Z19" i="6"/>
  <c r="Z20" i="6"/>
  <c r="Z21" i="6"/>
  <c r="Z22" i="6"/>
  <c r="Z23" i="6"/>
  <c r="Z24" i="6"/>
  <c r="Z25" i="6"/>
  <c r="W18" i="6"/>
  <c r="W19" i="6"/>
  <c r="W20" i="6"/>
  <c r="W21" i="6"/>
  <c r="W22" i="6"/>
  <c r="W23" i="6"/>
  <c r="W24" i="6"/>
  <c r="W25" i="6"/>
  <c r="T18" i="6"/>
  <c r="T19" i="6"/>
  <c r="T20" i="6"/>
  <c r="T21" i="6"/>
  <c r="T22" i="6"/>
  <c r="T23" i="6"/>
  <c r="T24" i="6"/>
  <c r="T25" i="6"/>
  <c r="Q18" i="6"/>
  <c r="Q19" i="6"/>
  <c r="Q20" i="6"/>
  <c r="Q21" i="6"/>
  <c r="Q22" i="6"/>
  <c r="Q23" i="6"/>
  <c r="Q24" i="6"/>
  <c r="Q25" i="6"/>
  <c r="N18" i="6"/>
  <c r="N19" i="6"/>
  <c r="N20" i="6"/>
  <c r="N21" i="6"/>
  <c r="N22" i="6"/>
  <c r="N23" i="6"/>
  <c r="N24" i="6"/>
  <c r="N25" i="6"/>
  <c r="K18" i="6"/>
  <c r="K19" i="6"/>
  <c r="K20" i="6"/>
  <c r="K21" i="6"/>
  <c r="K22" i="6"/>
  <c r="K23" i="6"/>
  <c r="K24" i="6"/>
  <c r="K25" i="6"/>
  <c r="H18" i="6"/>
  <c r="H19" i="6"/>
  <c r="H20" i="6"/>
  <c r="H21" i="6"/>
  <c r="H22" i="6"/>
  <c r="H23" i="6"/>
  <c r="H24" i="6"/>
  <c r="H25" i="6"/>
  <c r="E18" i="6"/>
  <c r="E19" i="6"/>
  <c r="E20" i="6"/>
  <c r="E21" i="6"/>
  <c r="E22" i="6"/>
  <c r="E23" i="6"/>
  <c r="E24" i="6"/>
  <c r="E25" i="6"/>
  <c r="B18" i="6"/>
  <c r="B19" i="6"/>
  <c r="B20" i="6"/>
  <c r="B21" i="6"/>
  <c r="B22" i="6"/>
  <c r="B23" i="6"/>
  <c r="B24" i="6"/>
  <c r="B25" i="6"/>
  <c r="B74" i="6"/>
  <c r="BL55" i="6"/>
  <c r="BK55" i="6"/>
  <c r="BG55" i="6"/>
  <c r="BF55" i="6"/>
  <c r="BB55" i="6"/>
  <c r="BA55" i="6"/>
  <c r="AW55" i="6"/>
  <c r="AV55" i="6"/>
  <c r="AR55" i="6"/>
  <c r="AQ55" i="6"/>
  <c r="AM55" i="6"/>
  <c r="AL55" i="6"/>
  <c r="AH55" i="6"/>
  <c r="AG55" i="6"/>
  <c r="X55" i="6"/>
  <c r="W55" i="6"/>
  <c r="N55" i="6"/>
  <c r="M55" i="6"/>
  <c r="G55" i="6"/>
  <c r="BP55" i="6" s="1"/>
  <c r="C55" i="6"/>
  <c r="B55" i="6"/>
  <c r="V36" i="6"/>
  <c r="R36" i="6"/>
  <c r="Q36" i="6"/>
  <c r="M36" i="6"/>
  <c r="L36" i="6"/>
  <c r="C36" i="6"/>
  <c r="B36" i="6"/>
  <c r="Z17" i="6"/>
  <c r="W17" i="6"/>
  <c r="T17" i="6"/>
  <c r="Q17" i="6"/>
  <c r="N17" i="6"/>
  <c r="K17" i="6"/>
  <c r="H17" i="6"/>
  <c r="E17" i="6"/>
  <c r="B17" i="6"/>
  <c r="B71" i="6"/>
  <c r="B70" i="6"/>
  <c r="BL52" i="6"/>
  <c r="BK52" i="6"/>
  <c r="BK53" i="6" s="1"/>
  <c r="BG52" i="6"/>
  <c r="BG53" i="6" s="1"/>
  <c r="BF52" i="6"/>
  <c r="BB52" i="6"/>
  <c r="BA52" i="6"/>
  <c r="AW52" i="6"/>
  <c r="AV52" i="6"/>
  <c r="AR52" i="6"/>
  <c r="AQ52" i="6"/>
  <c r="AQ53" i="6" s="1"/>
  <c r="AM52" i="6"/>
  <c r="AM53" i="6" s="1"/>
  <c r="AL52" i="6"/>
  <c r="AH52" i="6"/>
  <c r="AG52" i="6"/>
  <c r="X52" i="6"/>
  <c r="X53" i="6" s="1"/>
  <c r="W52" i="6"/>
  <c r="N52" i="6"/>
  <c r="N53" i="6" s="1"/>
  <c r="M52" i="6"/>
  <c r="M53" i="6" s="1"/>
  <c r="G52" i="6"/>
  <c r="C52" i="6"/>
  <c r="B52" i="6"/>
  <c r="BL51" i="6"/>
  <c r="BK51" i="6"/>
  <c r="BG51" i="6"/>
  <c r="BF51" i="6"/>
  <c r="BF53" i="6" s="1"/>
  <c r="BB51" i="6"/>
  <c r="BB53" i="6" s="1"/>
  <c r="BA51" i="6"/>
  <c r="BA53" i="6" s="1"/>
  <c r="AW51" i="6"/>
  <c r="AV51" i="6"/>
  <c r="AR51" i="6"/>
  <c r="AQ51" i="6"/>
  <c r="AM51" i="6"/>
  <c r="AL51" i="6"/>
  <c r="AH51" i="6"/>
  <c r="AH53" i="6" s="1"/>
  <c r="AG51" i="6"/>
  <c r="AG53" i="6" s="1"/>
  <c r="X51" i="6"/>
  <c r="W51" i="6"/>
  <c r="N51" i="6"/>
  <c r="M51" i="6"/>
  <c r="G51" i="6"/>
  <c r="BP51" i="6" s="1"/>
  <c r="C51" i="6"/>
  <c r="C53" i="6" s="1"/>
  <c r="B51" i="6"/>
  <c r="V33" i="6"/>
  <c r="Y33" i="6" s="1"/>
  <c r="R33" i="6"/>
  <c r="Q33" i="6"/>
  <c r="M33" i="6"/>
  <c r="L33" i="6"/>
  <c r="C33" i="6"/>
  <c r="B33" i="6"/>
  <c r="B34" i="6" s="1"/>
  <c r="V32" i="6"/>
  <c r="R32" i="6"/>
  <c r="Q32" i="6"/>
  <c r="M32" i="6"/>
  <c r="L32" i="6"/>
  <c r="C32" i="6"/>
  <c r="C34" i="6" s="1"/>
  <c r="B32" i="6"/>
  <c r="C81" i="6"/>
  <c r="D81" i="6" s="1"/>
  <c r="C79" i="6"/>
  <c r="D79" i="6" s="1"/>
  <c r="C78" i="6"/>
  <c r="C77" i="6"/>
  <c r="C76" i="6"/>
  <c r="C71" i="6"/>
  <c r="C70" i="6"/>
  <c r="BN63" i="6"/>
  <c r="BM63" i="6"/>
  <c r="BI63" i="6"/>
  <c r="BH63" i="6"/>
  <c r="BD63" i="6"/>
  <c r="BC63" i="6"/>
  <c r="AY63" i="6"/>
  <c r="AX63" i="6"/>
  <c r="AT63" i="6"/>
  <c r="AS63" i="6"/>
  <c r="AO63" i="6"/>
  <c r="AN63" i="6"/>
  <c r="AJ63" i="6"/>
  <c r="AI63" i="6"/>
  <c r="P63" i="6"/>
  <c r="O63" i="6"/>
  <c r="H63" i="6"/>
  <c r="E63" i="6"/>
  <c r="D63" i="6"/>
  <c r="BN62" i="6"/>
  <c r="BM62" i="6"/>
  <c r="BI62" i="6"/>
  <c r="BH62" i="6"/>
  <c r="BD62" i="6"/>
  <c r="BC62" i="6"/>
  <c r="AY62" i="6"/>
  <c r="AX62" i="6"/>
  <c r="AT62" i="6"/>
  <c r="AS62" i="6"/>
  <c r="AO62" i="6"/>
  <c r="AN62" i="6"/>
  <c r="AJ62" i="6"/>
  <c r="AI62" i="6"/>
  <c r="P62" i="6"/>
  <c r="O62" i="6"/>
  <c r="H62" i="6"/>
  <c r="E62" i="6"/>
  <c r="D62" i="6"/>
  <c r="BN61" i="6"/>
  <c r="BM61" i="6"/>
  <c r="BI61" i="6"/>
  <c r="BH61" i="6"/>
  <c r="BD61" i="6"/>
  <c r="BC61" i="6"/>
  <c r="AY61" i="6"/>
  <c r="AX61" i="6"/>
  <c r="AT61" i="6"/>
  <c r="AS61" i="6"/>
  <c r="AO61" i="6"/>
  <c r="AN61" i="6"/>
  <c r="AJ61" i="6"/>
  <c r="AI61" i="6"/>
  <c r="P61" i="6"/>
  <c r="O61" i="6"/>
  <c r="E61" i="6"/>
  <c r="D61" i="6"/>
  <c r="BN60" i="6"/>
  <c r="BM60" i="6"/>
  <c r="BI60" i="6"/>
  <c r="BH60" i="6"/>
  <c r="BD60" i="6"/>
  <c r="BC60" i="6"/>
  <c r="AY60" i="6"/>
  <c r="AX60" i="6"/>
  <c r="AT60" i="6"/>
  <c r="AO60" i="6"/>
  <c r="AJ60" i="6"/>
  <c r="P60" i="6"/>
  <c r="O60" i="6"/>
  <c r="H60" i="6"/>
  <c r="E60" i="6"/>
  <c r="D60" i="6"/>
  <c r="BM59" i="6"/>
  <c r="BH59" i="6"/>
  <c r="BC59" i="6"/>
  <c r="AY59" i="6"/>
  <c r="AX59" i="6"/>
  <c r="H59" i="6"/>
  <c r="D59" i="6"/>
  <c r="BN58" i="6"/>
  <c r="BM58" i="6"/>
  <c r="BI58" i="6"/>
  <c r="BH58" i="6"/>
  <c r="BD58" i="6"/>
  <c r="BC58" i="6"/>
  <c r="AY58" i="6"/>
  <c r="AX58" i="6"/>
  <c r="AT58" i="6"/>
  <c r="AS58" i="6"/>
  <c r="AO58" i="6"/>
  <c r="AN58" i="6"/>
  <c r="AJ58" i="6"/>
  <c r="AI58" i="6"/>
  <c r="P58" i="6"/>
  <c r="O58" i="6"/>
  <c r="H58" i="6"/>
  <c r="E58" i="6"/>
  <c r="D58" i="6"/>
  <c r="BN57" i="6"/>
  <c r="BI57" i="6"/>
  <c r="BH57" i="6"/>
  <c r="BD57" i="6"/>
  <c r="BC57" i="6"/>
  <c r="AY57" i="6"/>
  <c r="AX57" i="6"/>
  <c r="AT57" i="6"/>
  <c r="AS57" i="6"/>
  <c r="AO57" i="6"/>
  <c r="AN57" i="6"/>
  <c r="AJ57" i="6"/>
  <c r="AI57" i="6"/>
  <c r="P57" i="6"/>
  <c r="O57" i="6"/>
  <c r="H57" i="6"/>
  <c r="E57" i="6"/>
  <c r="D57" i="6"/>
  <c r="BN56" i="6"/>
  <c r="BM56" i="6"/>
  <c r="BI56" i="6"/>
  <c r="BH56" i="6"/>
  <c r="BD56" i="6"/>
  <c r="BC56" i="6"/>
  <c r="AY56" i="6"/>
  <c r="AX56" i="6"/>
  <c r="AT56" i="6"/>
  <c r="AS56" i="6"/>
  <c r="AO56" i="6"/>
  <c r="AN56" i="6"/>
  <c r="AJ56" i="6"/>
  <c r="AI56" i="6"/>
  <c r="P56" i="6"/>
  <c r="O56" i="6"/>
  <c r="BN55" i="6"/>
  <c r="BM55" i="6"/>
  <c r="BI55" i="6"/>
  <c r="BH55" i="6"/>
  <c r="BD55" i="6"/>
  <c r="BC55" i="6"/>
  <c r="AY55" i="6"/>
  <c r="AX55" i="6"/>
  <c r="AT55" i="6"/>
  <c r="AS55" i="6"/>
  <c r="AO55" i="6"/>
  <c r="AN55" i="6"/>
  <c r="AJ55" i="6"/>
  <c r="AI55" i="6"/>
  <c r="Y55" i="6"/>
  <c r="P55" i="6"/>
  <c r="O55" i="6"/>
  <c r="E55" i="6"/>
  <c r="D55" i="6"/>
  <c r="BN52" i="6"/>
  <c r="BM52" i="6"/>
  <c r="BI52" i="6"/>
  <c r="BH52" i="6"/>
  <c r="BD52" i="6"/>
  <c r="BC52" i="6"/>
  <c r="AY52" i="6"/>
  <c r="AX52" i="6"/>
  <c r="AT52" i="6"/>
  <c r="AS52" i="6"/>
  <c r="AO52" i="6"/>
  <c r="AN52" i="6"/>
  <c r="AJ52" i="6"/>
  <c r="AI52" i="6"/>
  <c r="Z52" i="6"/>
  <c r="Y52" i="6"/>
  <c r="P52" i="6"/>
  <c r="O52" i="6"/>
  <c r="H52" i="6"/>
  <c r="E52" i="6"/>
  <c r="D52" i="6"/>
  <c r="BN51" i="6"/>
  <c r="BM51" i="6"/>
  <c r="BI51" i="6"/>
  <c r="BH51" i="6"/>
  <c r="BH53" i="6" s="1"/>
  <c r="BD51" i="6"/>
  <c r="BC51" i="6"/>
  <c r="AY51" i="6"/>
  <c r="AX51" i="6"/>
  <c r="AV53" i="6"/>
  <c r="AT51" i="6"/>
  <c r="AS51" i="6"/>
  <c r="AO51" i="6"/>
  <c r="AN51" i="6"/>
  <c r="AN53" i="6" s="1"/>
  <c r="AJ51" i="6"/>
  <c r="AI51" i="6"/>
  <c r="Z51" i="6"/>
  <c r="Y51" i="6"/>
  <c r="W53" i="6"/>
  <c r="P51" i="6"/>
  <c r="O51" i="6"/>
  <c r="H51" i="6"/>
  <c r="E51" i="6"/>
  <c r="D51" i="6"/>
  <c r="W44" i="6"/>
  <c r="T44" i="6"/>
  <c r="S44" i="6"/>
  <c r="O44" i="6"/>
  <c r="N44" i="6"/>
  <c r="E44" i="6"/>
  <c r="D44" i="6"/>
  <c r="W43" i="6"/>
  <c r="T43" i="6"/>
  <c r="S43" i="6"/>
  <c r="O43" i="6"/>
  <c r="N43" i="6"/>
  <c r="E43" i="6"/>
  <c r="D43" i="6"/>
  <c r="W42" i="6"/>
  <c r="T42" i="6"/>
  <c r="S42" i="6"/>
  <c r="O42" i="6"/>
  <c r="N42" i="6"/>
  <c r="E42" i="6"/>
  <c r="D42" i="6"/>
  <c r="T41" i="6"/>
  <c r="S41" i="6"/>
  <c r="O41" i="6"/>
  <c r="N41" i="6"/>
  <c r="E41" i="6"/>
  <c r="D41" i="6"/>
  <c r="W40" i="6"/>
  <c r="W39" i="6"/>
  <c r="T39" i="6"/>
  <c r="S39" i="6"/>
  <c r="O39" i="6"/>
  <c r="N39" i="6"/>
  <c r="E39" i="6"/>
  <c r="D39" i="6"/>
  <c r="W38" i="6"/>
  <c r="T38" i="6"/>
  <c r="S38" i="6"/>
  <c r="O38" i="6"/>
  <c r="E38" i="6"/>
  <c r="W37" i="6"/>
  <c r="S37" i="6"/>
  <c r="N37" i="6"/>
  <c r="W36" i="6"/>
  <c r="S36" i="6"/>
  <c r="N36" i="6"/>
  <c r="D36" i="6"/>
  <c r="W33" i="6"/>
  <c r="T33" i="6"/>
  <c r="S33" i="6"/>
  <c r="O33" i="6"/>
  <c r="N33" i="6"/>
  <c r="E33" i="6"/>
  <c r="D33" i="6"/>
  <c r="W32" i="6"/>
  <c r="T32" i="6"/>
  <c r="S32" i="6"/>
  <c r="Q34" i="6"/>
  <c r="O32" i="6"/>
  <c r="N32" i="6"/>
  <c r="M34" i="6"/>
  <c r="L34" i="6"/>
  <c r="E32" i="6"/>
  <c r="D32" i="6"/>
  <c r="AA25" i="6"/>
  <c r="X25" i="6"/>
  <c r="R25" i="6"/>
  <c r="O25" i="6"/>
  <c r="L25" i="6"/>
  <c r="I25" i="6"/>
  <c r="F25" i="6"/>
  <c r="C25" i="6"/>
  <c r="AA24" i="6"/>
  <c r="X24" i="6"/>
  <c r="R24" i="6"/>
  <c r="O24" i="6"/>
  <c r="L24" i="6"/>
  <c r="I24" i="6"/>
  <c r="F24" i="6"/>
  <c r="C24" i="6"/>
  <c r="AA23" i="6"/>
  <c r="X23" i="6"/>
  <c r="L23" i="6"/>
  <c r="I23" i="6"/>
  <c r="F23" i="6"/>
  <c r="G23" i="6" s="1"/>
  <c r="C23" i="6"/>
  <c r="D23" i="6" s="1"/>
  <c r="AA22" i="6"/>
  <c r="X22" i="6"/>
  <c r="R22" i="6"/>
  <c r="O22" i="6"/>
  <c r="L22" i="6"/>
  <c r="I22" i="6"/>
  <c r="F22" i="6"/>
  <c r="C22" i="6"/>
  <c r="AA21" i="6"/>
  <c r="X21" i="6"/>
  <c r="R21" i="6"/>
  <c r="O21" i="6"/>
  <c r="I21" i="6"/>
  <c r="F21" i="6"/>
  <c r="C21" i="6"/>
  <c r="AA20" i="6"/>
  <c r="X20" i="6"/>
  <c r="R20" i="6"/>
  <c r="O20" i="6"/>
  <c r="L20" i="6"/>
  <c r="I20" i="6"/>
  <c r="F20" i="6"/>
  <c r="G20" i="6" s="1"/>
  <c r="C20" i="6"/>
  <c r="AA19" i="6"/>
  <c r="X19" i="6"/>
  <c r="R19" i="6"/>
  <c r="O19" i="6"/>
  <c r="L19" i="6"/>
  <c r="I19" i="6"/>
  <c r="F19" i="6"/>
  <c r="C19" i="6"/>
  <c r="AA18" i="6"/>
  <c r="X18" i="6"/>
  <c r="R18" i="6"/>
  <c r="I18" i="6"/>
  <c r="F18" i="6"/>
  <c r="AA17" i="6"/>
  <c r="AB17" i="6" s="1"/>
  <c r="X17" i="6"/>
  <c r="I17" i="6"/>
  <c r="F17" i="6"/>
  <c r="C17" i="6"/>
  <c r="D17" i="6" s="1"/>
  <c r="AV1" i="6"/>
  <c r="G53" i="6" l="1"/>
  <c r="BP62" i="6"/>
  <c r="BP61" i="6"/>
  <c r="F62" i="6"/>
  <c r="BP59" i="6"/>
  <c r="BP57" i="6"/>
  <c r="AC17" i="6"/>
  <c r="BQ51" i="6"/>
  <c r="BP52" i="6"/>
  <c r="BQ52" i="6"/>
  <c r="AE53" i="6"/>
  <c r="S24" i="6"/>
  <c r="J53" i="6"/>
  <c r="D76" i="6"/>
  <c r="S34" i="6"/>
  <c r="N34" i="6"/>
  <c r="AE64" i="6"/>
  <c r="AD64" i="6"/>
  <c r="AC64" i="6"/>
  <c r="AB64" i="6"/>
  <c r="AF64" i="6" s="1"/>
  <c r="AS53" i="6"/>
  <c r="AP51" i="6"/>
  <c r="Y37" i="6"/>
  <c r="AW53" i="6"/>
  <c r="U53" i="6"/>
  <c r="V53" i="6" s="1"/>
  <c r="Y32" i="6"/>
  <c r="Y34" i="6" s="1"/>
  <c r="E34" i="6"/>
  <c r="K33" i="6"/>
  <c r="K38" i="6"/>
  <c r="V51" i="6"/>
  <c r="S64" i="6"/>
  <c r="F33" i="6"/>
  <c r="V55" i="6"/>
  <c r="R64" i="6"/>
  <c r="Y17" i="6"/>
  <c r="S18" i="6"/>
  <c r="H53" i="6"/>
  <c r="AJ53" i="6"/>
  <c r="AZ51" i="6"/>
  <c r="Y44" i="6"/>
  <c r="Y43" i="6"/>
  <c r="BO61" i="6"/>
  <c r="G24" i="6"/>
  <c r="BD53" i="6"/>
  <c r="S19" i="6"/>
  <c r="AO53" i="6"/>
  <c r="Y41" i="6"/>
  <c r="AB19" i="6"/>
  <c r="P41" i="6"/>
  <c r="BI53" i="6"/>
  <c r="AZ52" i="6"/>
  <c r="AC21" i="6"/>
  <c r="B97" i="6" s="1"/>
  <c r="Y42" i="6"/>
  <c r="Y38" i="6"/>
  <c r="Y40" i="6"/>
  <c r="C64" i="6"/>
  <c r="G19" i="6"/>
  <c r="T34" i="6"/>
  <c r="F55" i="6"/>
  <c r="BO56" i="6"/>
  <c r="Y36" i="6"/>
  <c r="B93" i="6" s="1"/>
  <c r="Y39" i="6"/>
  <c r="K64" i="6"/>
  <c r="K53" i="6"/>
  <c r="J64" i="6"/>
  <c r="L64" i="6" s="1"/>
  <c r="Z53" i="6"/>
  <c r="BN53" i="6"/>
  <c r="AR53" i="6"/>
  <c r="BL53" i="6"/>
  <c r="I34" i="6"/>
  <c r="J45" i="6"/>
  <c r="Z39" i="6"/>
  <c r="E53" i="6"/>
  <c r="AX53" i="6"/>
  <c r="AZ57" i="6"/>
  <c r="G18" i="6"/>
  <c r="K26" i="6"/>
  <c r="N26" i="6"/>
  <c r="B64" i="6"/>
  <c r="BF64" i="6"/>
  <c r="Z32" i="6"/>
  <c r="U38" i="6"/>
  <c r="F61" i="6"/>
  <c r="D78" i="6"/>
  <c r="AW64" i="6"/>
  <c r="K36" i="6"/>
  <c r="O34" i="6"/>
  <c r="BC53" i="6"/>
  <c r="B72" i="6"/>
  <c r="I45" i="6"/>
  <c r="Q51" i="6"/>
  <c r="AP55" i="6"/>
  <c r="BJ55" i="6"/>
  <c r="AK57" i="6"/>
  <c r="BE57" i="6"/>
  <c r="I26" i="6"/>
  <c r="P42" i="6"/>
  <c r="Q55" i="6"/>
  <c r="BO55" i="6"/>
  <c r="G34" i="6"/>
  <c r="K40" i="6"/>
  <c r="G45" i="6"/>
  <c r="H45" i="6"/>
  <c r="Z33" i="6"/>
  <c r="Z42" i="6"/>
  <c r="AA42" i="6" s="1"/>
  <c r="AI53" i="6"/>
  <c r="AK53" i="6" s="1"/>
  <c r="F26" i="6"/>
  <c r="AA26" i="6"/>
  <c r="W34" i="6"/>
  <c r="Y53" i="6"/>
  <c r="AA53" i="6" s="1"/>
  <c r="O53" i="6"/>
  <c r="C72" i="6"/>
  <c r="D72" i="6" s="1"/>
  <c r="P32" i="6"/>
  <c r="P33" i="6"/>
  <c r="AT53" i="6"/>
  <c r="AY53" i="6"/>
  <c r="F57" i="6"/>
  <c r="D70" i="6"/>
  <c r="V34" i="6"/>
  <c r="J19" i="6"/>
  <c r="N64" i="6"/>
  <c r="AQ64" i="6"/>
  <c r="AV64" i="6"/>
  <c r="BA64" i="6"/>
  <c r="X26" i="6"/>
  <c r="D34" i="6"/>
  <c r="F34" i="6" s="1"/>
  <c r="BM53" i="6"/>
  <c r="AY64" i="6"/>
  <c r="AP57" i="6"/>
  <c r="BJ57" i="6"/>
  <c r="AK51" i="6"/>
  <c r="T26" i="6"/>
  <c r="AR64" i="6"/>
  <c r="B83" i="6"/>
  <c r="M64" i="6"/>
  <c r="Z44" i="6"/>
  <c r="BC64" i="6"/>
  <c r="AG64" i="6"/>
  <c r="AC24" i="6"/>
  <c r="AL64" i="6"/>
  <c r="J18" i="6"/>
  <c r="U33" i="6"/>
  <c r="Z43" i="6"/>
  <c r="Y23" i="6"/>
  <c r="U39" i="6"/>
  <c r="AH64" i="6"/>
  <c r="BL64" i="6"/>
  <c r="BH64" i="6"/>
  <c r="AX64" i="6"/>
  <c r="BE62" i="6"/>
  <c r="BE58" i="6"/>
  <c r="BS109" i="5"/>
  <c r="BS116" i="5" s="1"/>
  <c r="BS114" i="5"/>
  <c r="BQ116" i="5"/>
  <c r="BE56" i="6"/>
  <c r="AZ62" i="6"/>
  <c r="AZ56" i="6"/>
  <c r="AZ59" i="6"/>
  <c r="AB18" i="6"/>
  <c r="AC25" i="6"/>
  <c r="Q26" i="6"/>
  <c r="M23" i="6"/>
  <c r="AC23" i="6"/>
  <c r="J23" i="6"/>
  <c r="E26" i="6"/>
  <c r="AC20" i="6"/>
  <c r="AC19" i="6"/>
  <c r="V45" i="6"/>
  <c r="AK55" i="6"/>
  <c r="W26" i="6"/>
  <c r="H26" i="6"/>
  <c r="AC18" i="6"/>
  <c r="W64" i="6"/>
  <c r="AM64" i="6"/>
  <c r="AU57" i="6"/>
  <c r="AZ60" i="6"/>
  <c r="BE61" i="6"/>
  <c r="M45" i="6"/>
  <c r="B45" i="6"/>
  <c r="C45" i="6"/>
  <c r="X64" i="6"/>
  <c r="BG64" i="6"/>
  <c r="AZ55" i="6"/>
  <c r="BK64" i="6"/>
  <c r="BJ61" i="6"/>
  <c r="B53" i="6"/>
  <c r="F58" i="6"/>
  <c r="AB23" i="6"/>
  <c r="BB64" i="6"/>
  <c r="Q57" i="6"/>
  <c r="B26" i="6"/>
  <c r="BR51" i="6"/>
  <c r="D77" i="6"/>
  <c r="Y18" i="6"/>
  <c r="R34" i="6"/>
  <c r="U34" i="6" s="1"/>
  <c r="R45" i="6"/>
  <c r="AU51" i="6"/>
  <c r="AU55" i="6"/>
  <c r="AC22" i="6"/>
  <c r="Z26" i="6"/>
  <c r="U42" i="6"/>
  <c r="Q45" i="6"/>
  <c r="G17" i="6"/>
  <c r="X33" i="6"/>
  <c r="F41" i="6"/>
  <c r="AA51" i="6"/>
  <c r="G64" i="6"/>
  <c r="D53" i="6"/>
  <c r="U32" i="6"/>
  <c r="L45" i="6"/>
  <c r="B90" i="6"/>
  <c r="AL53" i="6"/>
  <c r="BE55" i="6"/>
  <c r="P53" i="6"/>
  <c r="U41" i="6"/>
  <c r="BD116" i="5"/>
  <c r="AZ115" i="5"/>
  <c r="AW115" i="5"/>
  <c r="AV115" i="5"/>
  <c r="AU115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Z115" i="5"/>
  <c r="Y115" i="5"/>
  <c r="V115" i="5"/>
  <c r="U115" i="5"/>
  <c r="T115" i="5"/>
  <c r="S115" i="5"/>
  <c r="R115" i="5"/>
  <c r="Q115" i="5"/>
  <c r="P115" i="5"/>
  <c r="O115" i="5"/>
  <c r="N115" i="5"/>
  <c r="K115" i="5"/>
  <c r="J115" i="5"/>
  <c r="I115" i="5"/>
  <c r="H115" i="5"/>
  <c r="G115" i="5"/>
  <c r="F115" i="5"/>
  <c r="E115" i="5"/>
  <c r="D115" i="5"/>
  <c r="C115" i="5"/>
  <c r="AW114" i="5"/>
  <c r="BC114" i="5" s="1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V114" i="5"/>
  <c r="U114" i="5"/>
  <c r="T114" i="5"/>
  <c r="S114" i="5"/>
  <c r="R114" i="5"/>
  <c r="Q114" i="5"/>
  <c r="P114" i="5"/>
  <c r="O114" i="5"/>
  <c r="N114" i="5"/>
  <c r="K114" i="5"/>
  <c r="J114" i="5"/>
  <c r="I114" i="5"/>
  <c r="H114" i="5"/>
  <c r="G114" i="5"/>
  <c r="F114" i="5"/>
  <c r="E114" i="5"/>
  <c r="D114" i="5"/>
  <c r="C114" i="5"/>
  <c r="AZ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V113" i="5"/>
  <c r="U113" i="5"/>
  <c r="T113" i="5"/>
  <c r="S113" i="5"/>
  <c r="R113" i="5"/>
  <c r="Q113" i="5"/>
  <c r="P113" i="5"/>
  <c r="O113" i="5"/>
  <c r="N113" i="5"/>
  <c r="J113" i="5"/>
  <c r="I113" i="5"/>
  <c r="H113" i="5"/>
  <c r="D113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U112" i="5"/>
  <c r="T112" i="5"/>
  <c r="S112" i="5"/>
  <c r="R112" i="5"/>
  <c r="Q112" i="5"/>
  <c r="P112" i="5"/>
  <c r="O112" i="5"/>
  <c r="N112" i="5"/>
  <c r="K112" i="5"/>
  <c r="J112" i="5"/>
  <c r="I112" i="5"/>
  <c r="H112" i="5"/>
  <c r="G112" i="5"/>
  <c r="F112" i="5"/>
  <c r="E112" i="5"/>
  <c r="D112" i="5"/>
  <c r="C112" i="5"/>
  <c r="AW111" i="5"/>
  <c r="BC111" i="5" s="1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V111" i="5"/>
  <c r="U111" i="5"/>
  <c r="T111" i="5"/>
  <c r="S111" i="5"/>
  <c r="R111" i="5"/>
  <c r="Q111" i="5"/>
  <c r="P111" i="5"/>
  <c r="O111" i="5"/>
  <c r="N111" i="5"/>
  <c r="K111" i="5"/>
  <c r="J111" i="5"/>
  <c r="I111" i="5"/>
  <c r="H111" i="5"/>
  <c r="G111" i="5"/>
  <c r="F111" i="5"/>
  <c r="E111" i="5"/>
  <c r="D111" i="5"/>
  <c r="C111" i="5"/>
  <c r="AZ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V110" i="5"/>
  <c r="U110" i="5"/>
  <c r="T110" i="5"/>
  <c r="S110" i="5"/>
  <c r="R110" i="5"/>
  <c r="Q110" i="5"/>
  <c r="P110" i="5"/>
  <c r="O110" i="5"/>
  <c r="N110" i="5"/>
  <c r="K110" i="5"/>
  <c r="J110" i="5"/>
  <c r="I110" i="5"/>
  <c r="H110" i="5"/>
  <c r="G110" i="5"/>
  <c r="F110" i="5"/>
  <c r="E110" i="5"/>
  <c r="D110" i="5"/>
  <c r="C110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V109" i="5"/>
  <c r="U109" i="5"/>
  <c r="T109" i="5"/>
  <c r="S109" i="5"/>
  <c r="R109" i="5"/>
  <c r="Q109" i="5"/>
  <c r="P109" i="5"/>
  <c r="O109" i="5"/>
  <c r="N109" i="5"/>
  <c r="J109" i="5"/>
  <c r="I109" i="5"/>
  <c r="H109" i="5"/>
  <c r="G109" i="5"/>
  <c r="F109" i="5"/>
  <c r="E109" i="5"/>
  <c r="D109" i="5"/>
  <c r="C109" i="5"/>
  <c r="AZ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V108" i="5"/>
  <c r="U108" i="5"/>
  <c r="T108" i="5"/>
  <c r="S108" i="5"/>
  <c r="R108" i="5"/>
  <c r="Q108" i="5"/>
  <c r="P108" i="5"/>
  <c r="O108" i="5"/>
  <c r="N108" i="5"/>
  <c r="J108" i="5"/>
  <c r="I108" i="5"/>
  <c r="H108" i="5"/>
  <c r="E108" i="5"/>
  <c r="D108" i="5"/>
  <c r="C108" i="5"/>
  <c r="AZ107" i="5"/>
  <c r="AW107" i="5"/>
  <c r="AV107" i="5"/>
  <c r="AU107" i="5"/>
  <c r="AU116" i="5" s="1"/>
  <c r="AT107" i="5"/>
  <c r="AS107" i="5"/>
  <c r="AR107" i="5"/>
  <c r="AR116" i="5" s="1"/>
  <c r="AQ107" i="5"/>
  <c r="AQ116" i="5" s="1"/>
  <c r="AP107" i="5"/>
  <c r="AO107" i="5"/>
  <c r="AN107" i="5"/>
  <c r="AM107" i="5"/>
  <c r="AM116" i="5" s="1"/>
  <c r="AL107" i="5"/>
  <c r="AK107" i="5"/>
  <c r="AJ107" i="5"/>
  <c r="AI107" i="5"/>
  <c r="AI116" i="5" s="1"/>
  <c r="AH107" i="5"/>
  <c r="AG107" i="5"/>
  <c r="AF107" i="5"/>
  <c r="AF116" i="5" s="1"/>
  <c r="AE107" i="5"/>
  <c r="AE116" i="5" s="1"/>
  <c r="AD107" i="5"/>
  <c r="AC107" i="5"/>
  <c r="AB107" i="5"/>
  <c r="AA107" i="5"/>
  <c r="AA116" i="5" s="1"/>
  <c r="Y107" i="5"/>
  <c r="X107" i="5"/>
  <c r="V107" i="5"/>
  <c r="U107" i="5"/>
  <c r="T107" i="5"/>
  <c r="S107" i="5"/>
  <c r="R107" i="5"/>
  <c r="R116" i="5" s="1"/>
  <c r="Q107" i="5"/>
  <c r="P107" i="5"/>
  <c r="O107" i="5"/>
  <c r="N107" i="5"/>
  <c r="N116" i="5" s="1"/>
  <c r="K107" i="5"/>
  <c r="I107" i="5"/>
  <c r="H107" i="5"/>
  <c r="G107" i="5"/>
  <c r="F107" i="5"/>
  <c r="E107" i="5"/>
  <c r="D107" i="5"/>
  <c r="C107" i="5"/>
  <c r="AZ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V106" i="5"/>
  <c r="U106" i="5"/>
  <c r="T106" i="5"/>
  <c r="S106" i="5"/>
  <c r="R106" i="5"/>
  <c r="Q106" i="5"/>
  <c r="P106" i="5"/>
  <c r="O106" i="5"/>
  <c r="N106" i="5"/>
  <c r="L106" i="5"/>
  <c r="K106" i="5"/>
  <c r="J106" i="5"/>
  <c r="I106" i="5"/>
  <c r="H106" i="5"/>
  <c r="G106" i="5"/>
  <c r="F106" i="5"/>
  <c r="E106" i="5"/>
  <c r="D106" i="5"/>
  <c r="C106" i="5"/>
  <c r="AZ101" i="5"/>
  <c r="AV101" i="5"/>
  <c r="AT101" i="5"/>
  <c r="AR101" i="5"/>
  <c r="AP101" i="5"/>
  <c r="AH101" i="5"/>
  <c r="AA101" i="5"/>
  <c r="Z101" i="5"/>
  <c r="X101" i="5"/>
  <c r="T101" i="5"/>
  <c r="R101" i="5"/>
  <c r="P101" i="5"/>
  <c r="N101" i="5"/>
  <c r="K101" i="5"/>
  <c r="J101" i="5"/>
  <c r="I101" i="5"/>
  <c r="H101" i="5"/>
  <c r="G101" i="5"/>
  <c r="F101" i="5"/>
  <c r="E101" i="5"/>
  <c r="D101" i="5"/>
  <c r="C101" i="5"/>
  <c r="AX100" i="5"/>
  <c r="L100" i="5"/>
  <c r="BB100" i="5" s="1"/>
  <c r="BB99" i="5"/>
  <c r="AX99" i="5"/>
  <c r="L99" i="5"/>
  <c r="AX98" i="5"/>
  <c r="L98" i="5"/>
  <c r="BB98" i="5" s="1"/>
  <c r="AX97" i="5"/>
  <c r="L97" i="5"/>
  <c r="BB97" i="5" s="1"/>
  <c r="AX95" i="5"/>
  <c r="L95" i="5"/>
  <c r="AX93" i="5"/>
  <c r="L93" i="5"/>
  <c r="BB93" i="5" s="1"/>
  <c r="AX92" i="5"/>
  <c r="L92" i="5"/>
  <c r="AX91" i="5"/>
  <c r="L91" i="5"/>
  <c r="BB91" i="5" s="1"/>
  <c r="AX90" i="5"/>
  <c r="L90" i="5"/>
  <c r="AX89" i="5"/>
  <c r="BB89" i="5" s="1"/>
  <c r="L89" i="5"/>
  <c r="AX88" i="5"/>
  <c r="L88" i="5"/>
  <c r="BB88" i="5" s="1"/>
  <c r="AX87" i="5"/>
  <c r="L87" i="5"/>
  <c r="BB87" i="5" s="1"/>
  <c r="AX86" i="5"/>
  <c r="L86" i="5"/>
  <c r="AX85" i="5"/>
  <c r="L85" i="5"/>
  <c r="BB85" i="5" s="1"/>
  <c r="AX84" i="5"/>
  <c r="L84" i="5"/>
  <c r="BB84" i="5" s="1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H81" i="5" s="1"/>
  <c r="AH82" i="5" s="1"/>
  <c r="AG79" i="5"/>
  <c r="AF79" i="5"/>
  <c r="AE79" i="5"/>
  <c r="AD79" i="5"/>
  <c r="AC79" i="5"/>
  <c r="AB79" i="5"/>
  <c r="AA79" i="5"/>
  <c r="Z79" i="5"/>
  <c r="Y79" i="5"/>
  <c r="V79" i="5"/>
  <c r="U79" i="5"/>
  <c r="T79" i="5"/>
  <c r="S79" i="5"/>
  <c r="R79" i="5"/>
  <c r="Q79" i="5"/>
  <c r="P79" i="5"/>
  <c r="O79" i="5"/>
  <c r="N79" i="5"/>
  <c r="I79" i="5"/>
  <c r="H79" i="5"/>
  <c r="D79" i="5"/>
  <c r="D81" i="5" s="1"/>
  <c r="D82" i="5" s="1"/>
  <c r="AX78" i="5"/>
  <c r="L78" i="5"/>
  <c r="AX77" i="5"/>
  <c r="L77" i="5"/>
  <c r="BB77" i="5" s="1"/>
  <c r="AX76" i="5"/>
  <c r="L76" i="5"/>
  <c r="BB76" i="5" s="1"/>
  <c r="AX75" i="5"/>
  <c r="BB75" i="5" s="1"/>
  <c r="L75" i="5"/>
  <c r="X74" i="5"/>
  <c r="X115" i="5" s="1"/>
  <c r="L74" i="5"/>
  <c r="AX73" i="5"/>
  <c r="BB73" i="5" s="1"/>
  <c r="L73" i="5"/>
  <c r="AX72" i="5"/>
  <c r="L72" i="5"/>
  <c r="BB72" i="5" s="1"/>
  <c r="AX71" i="5"/>
  <c r="L71" i="5"/>
  <c r="AZ70" i="5"/>
  <c r="AZ114" i="5" s="1"/>
  <c r="AX70" i="5"/>
  <c r="AX114" i="5" s="1"/>
  <c r="L70" i="5"/>
  <c r="L114" i="5" s="1"/>
  <c r="AX69" i="5"/>
  <c r="E69" i="5"/>
  <c r="C69" i="5"/>
  <c r="L69" i="5" s="1"/>
  <c r="BB69" i="5" s="1"/>
  <c r="AX68" i="5"/>
  <c r="E68" i="5"/>
  <c r="C68" i="5"/>
  <c r="L68" i="5" s="1"/>
  <c r="BB68" i="5" s="1"/>
  <c r="AX67" i="5"/>
  <c r="L67" i="5"/>
  <c r="BB67" i="5" s="1"/>
  <c r="AX66" i="5"/>
  <c r="K66" i="5"/>
  <c r="L66" i="5" s="1"/>
  <c r="BB66" i="5" s="1"/>
  <c r="AX65" i="5"/>
  <c r="L65" i="5"/>
  <c r="BB65" i="5" s="1"/>
  <c r="AX64" i="5"/>
  <c r="K64" i="5"/>
  <c r="G64" i="5"/>
  <c r="F64" i="5"/>
  <c r="F113" i="5" s="1"/>
  <c r="C64" i="5"/>
  <c r="AX63" i="5"/>
  <c r="K63" i="5"/>
  <c r="G63" i="5"/>
  <c r="G113" i="5" s="1"/>
  <c r="C63" i="5"/>
  <c r="AX62" i="5"/>
  <c r="L62" i="5"/>
  <c r="BB62" i="5" s="1"/>
  <c r="AZ61" i="5"/>
  <c r="AZ112" i="5" s="1"/>
  <c r="AX61" i="5"/>
  <c r="AX112" i="5" s="1"/>
  <c r="V61" i="5"/>
  <c r="V112" i="5" s="1"/>
  <c r="L61" i="5"/>
  <c r="L112" i="5" s="1"/>
  <c r="AZ60" i="5"/>
  <c r="AX60" i="5"/>
  <c r="L60" i="5"/>
  <c r="AZ59" i="5"/>
  <c r="AX59" i="5"/>
  <c r="L59" i="5"/>
  <c r="AX58" i="5"/>
  <c r="L58" i="5"/>
  <c r="BB58" i="5" s="1"/>
  <c r="AX57" i="5"/>
  <c r="L57" i="5"/>
  <c r="BB57" i="5" s="1"/>
  <c r="AX56" i="5"/>
  <c r="L56" i="5"/>
  <c r="BB56" i="5" s="1"/>
  <c r="AZ55" i="5"/>
  <c r="AX55" i="5"/>
  <c r="L55" i="5"/>
  <c r="AZ54" i="5"/>
  <c r="AX54" i="5"/>
  <c r="L54" i="5"/>
  <c r="AZ53" i="5"/>
  <c r="AX53" i="5"/>
  <c r="L53" i="5"/>
  <c r="AX52" i="5"/>
  <c r="L52" i="5"/>
  <c r="AX51" i="5"/>
  <c r="L51" i="5"/>
  <c r="BB51" i="5" s="1"/>
  <c r="AX50" i="5"/>
  <c r="L50" i="5"/>
  <c r="BB50" i="5" s="1"/>
  <c r="AX49" i="5"/>
  <c r="L49" i="5"/>
  <c r="L110" i="5" s="1"/>
  <c r="AX48" i="5"/>
  <c r="L48" i="5"/>
  <c r="BB48" i="5" s="1"/>
  <c r="AX47" i="5"/>
  <c r="L47" i="5"/>
  <c r="BB47" i="5" s="1"/>
  <c r="AX46" i="5"/>
  <c r="L46" i="5"/>
  <c r="AX45" i="5"/>
  <c r="L45" i="5"/>
  <c r="BB45" i="5" s="1"/>
  <c r="AX44" i="5"/>
  <c r="K44" i="5"/>
  <c r="K109" i="5" s="1"/>
  <c r="AX43" i="5"/>
  <c r="BB43" i="5" s="1"/>
  <c r="L43" i="5"/>
  <c r="AX42" i="5"/>
  <c r="L42" i="5"/>
  <c r="AX41" i="5"/>
  <c r="BB41" i="5" s="1"/>
  <c r="L41" i="5"/>
  <c r="AX40" i="5"/>
  <c r="L40" i="5"/>
  <c r="AZ39" i="5"/>
  <c r="AX39" i="5"/>
  <c r="L39" i="5"/>
  <c r="AX38" i="5"/>
  <c r="L38" i="5"/>
  <c r="AX37" i="5"/>
  <c r="L37" i="5"/>
  <c r="AX36" i="5"/>
  <c r="BB36" i="5" s="1"/>
  <c r="L36" i="5"/>
  <c r="AX35" i="5"/>
  <c r="BB35" i="5" s="1"/>
  <c r="L35" i="5"/>
  <c r="AX34" i="5"/>
  <c r="L34" i="5"/>
  <c r="BB34" i="5" s="1"/>
  <c r="AX33" i="5"/>
  <c r="L33" i="5"/>
  <c r="BG32" i="5"/>
  <c r="AX32" i="5"/>
  <c r="L32" i="5"/>
  <c r="BB32" i="5" s="1"/>
  <c r="X31" i="5"/>
  <c r="AX31" i="5" s="1"/>
  <c r="K31" i="5"/>
  <c r="K108" i="5" s="1"/>
  <c r="BG30" i="5"/>
  <c r="AX30" i="5"/>
  <c r="J30" i="5"/>
  <c r="J79" i="5" s="1"/>
  <c r="G30" i="5"/>
  <c r="G108" i="5" s="1"/>
  <c r="F30" i="5"/>
  <c r="F108" i="5" s="1"/>
  <c r="AX29" i="5"/>
  <c r="L29" i="5"/>
  <c r="BB29" i="5" s="1"/>
  <c r="AX28" i="5"/>
  <c r="L28" i="5"/>
  <c r="BB28" i="5" s="1"/>
  <c r="AX27" i="5"/>
  <c r="L27" i="5"/>
  <c r="AX26" i="5"/>
  <c r="L26" i="5"/>
  <c r="BB26" i="5" s="1"/>
  <c r="BG25" i="5"/>
  <c r="AX25" i="5"/>
  <c r="L25" i="5"/>
  <c r="BB25" i="5" s="1"/>
  <c r="BB24" i="5"/>
  <c r="AX24" i="5"/>
  <c r="L24" i="5"/>
  <c r="AZ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Y22" i="5"/>
  <c r="X22" i="5"/>
  <c r="V22" i="5"/>
  <c r="U22" i="5"/>
  <c r="T22" i="5"/>
  <c r="S22" i="5"/>
  <c r="R22" i="5"/>
  <c r="Q22" i="5"/>
  <c r="P22" i="5"/>
  <c r="O22" i="5"/>
  <c r="N22" i="5"/>
  <c r="K22" i="5"/>
  <c r="I22" i="5"/>
  <c r="H22" i="5"/>
  <c r="G22" i="5"/>
  <c r="F22" i="5"/>
  <c r="E22" i="5"/>
  <c r="D22" i="5"/>
  <c r="C22" i="5"/>
  <c r="AX21" i="5"/>
  <c r="L21" i="5"/>
  <c r="AX20" i="5"/>
  <c r="BB20" i="5" s="1"/>
  <c r="L20" i="5"/>
  <c r="AX19" i="5"/>
  <c r="L19" i="5"/>
  <c r="AX18" i="5"/>
  <c r="BB18" i="5" s="1"/>
  <c r="L18" i="5"/>
  <c r="BG17" i="5"/>
  <c r="BB17" i="5"/>
  <c r="AX17" i="5"/>
  <c r="L17" i="5"/>
  <c r="AX16" i="5"/>
  <c r="BB16" i="5" s="1"/>
  <c r="L16" i="5"/>
  <c r="AX15" i="5"/>
  <c r="L15" i="5"/>
  <c r="AX14" i="5"/>
  <c r="L14" i="5"/>
  <c r="BB14" i="5" s="1"/>
  <c r="AX13" i="5"/>
  <c r="L13" i="5"/>
  <c r="BB13" i="5" s="1"/>
  <c r="Z12" i="5"/>
  <c r="Z107" i="5" s="1"/>
  <c r="J12" i="5"/>
  <c r="L12" i="5" s="1"/>
  <c r="AX11" i="5"/>
  <c r="BB11" i="5" s="1"/>
  <c r="L11" i="5"/>
  <c r="AX10" i="5"/>
  <c r="BB10" i="5" s="1"/>
  <c r="L10" i="5"/>
  <c r="AX9" i="5"/>
  <c r="L9" i="5"/>
  <c r="AX8" i="5"/>
  <c r="J8" i="5"/>
  <c r="J107" i="5" s="1"/>
  <c r="J116" i="5" s="1"/>
  <c r="AZ5" i="5"/>
  <c r="AV5" i="5"/>
  <c r="AT5" i="5"/>
  <c r="AR5" i="5"/>
  <c r="AP5" i="5"/>
  <c r="AN5" i="5"/>
  <c r="AL5" i="5"/>
  <c r="AJ5" i="5"/>
  <c r="AH5" i="5"/>
  <c r="AG5" i="5"/>
  <c r="AF5" i="5"/>
  <c r="AD5" i="5"/>
  <c r="AB5" i="5"/>
  <c r="AA5" i="5"/>
  <c r="Z5" i="5"/>
  <c r="X5" i="5"/>
  <c r="V5" i="5"/>
  <c r="T5" i="5"/>
  <c r="R5" i="5"/>
  <c r="P5" i="5"/>
  <c r="N5" i="5"/>
  <c r="K5" i="5"/>
  <c r="J5" i="5"/>
  <c r="I5" i="5"/>
  <c r="H5" i="5"/>
  <c r="G5" i="5"/>
  <c r="F5" i="5"/>
  <c r="E5" i="5"/>
  <c r="D5" i="5"/>
  <c r="C5" i="5"/>
  <c r="AX3" i="5"/>
  <c r="L3" i="5"/>
  <c r="BB3" i="5" s="1"/>
  <c r="AX2" i="5"/>
  <c r="AX5" i="5" s="1"/>
  <c r="L2" i="5"/>
  <c r="G26" i="6" l="1"/>
  <c r="P34" i="6"/>
  <c r="BQ53" i="6"/>
  <c r="C90" i="6"/>
  <c r="D90" i="6" s="1"/>
  <c r="C89" i="6"/>
  <c r="AZ53" i="6"/>
  <c r="AZ64" i="6"/>
  <c r="AA33" i="6"/>
  <c r="B89" i="6"/>
  <c r="B91" i="6" s="1"/>
  <c r="AA32" i="6"/>
  <c r="Q53" i="6"/>
  <c r="Z34" i="6"/>
  <c r="AA34" i="6" s="1"/>
  <c r="X34" i="6"/>
  <c r="AU53" i="6"/>
  <c r="AP53" i="6"/>
  <c r="J26" i="6"/>
  <c r="K45" i="6"/>
  <c r="Y26" i="6"/>
  <c r="AB26" i="6"/>
  <c r="K34" i="6"/>
  <c r="B100" i="6"/>
  <c r="B96" i="6"/>
  <c r="BP64" i="6"/>
  <c r="BU117" i="5" s="1"/>
  <c r="B94" i="6"/>
  <c r="B98" i="6"/>
  <c r="B95" i="6"/>
  <c r="B99" i="6"/>
  <c r="Y45" i="6"/>
  <c r="BR52" i="6"/>
  <c r="BP53" i="6"/>
  <c r="BR53" i="6" s="1"/>
  <c r="AC26" i="6"/>
  <c r="AA81" i="5"/>
  <c r="AA82" i="5" s="1"/>
  <c r="AI81" i="5"/>
  <c r="AI82" i="5" s="1"/>
  <c r="AJ81" i="5"/>
  <c r="AJ82" i="5" s="1"/>
  <c r="AT81" i="5"/>
  <c r="AT82" i="5" s="1"/>
  <c r="U81" i="5"/>
  <c r="U82" i="5" s="1"/>
  <c r="AM81" i="5"/>
  <c r="AM82" i="5" s="1"/>
  <c r="AU81" i="5"/>
  <c r="AU82" i="5" s="1"/>
  <c r="BB5" i="5"/>
  <c r="N81" i="5"/>
  <c r="N82" i="5" s="1"/>
  <c r="V81" i="5"/>
  <c r="V82" i="5" s="1"/>
  <c r="L111" i="5"/>
  <c r="BB111" i="5" s="1"/>
  <c r="BB74" i="5"/>
  <c r="BB15" i="5"/>
  <c r="BB19" i="5"/>
  <c r="BB37" i="5"/>
  <c r="BB42" i="5"/>
  <c r="AX111" i="5"/>
  <c r="BB61" i="5"/>
  <c r="H81" i="5"/>
  <c r="H82" i="5" s="1"/>
  <c r="X79" i="5"/>
  <c r="X81" i="5" s="1"/>
  <c r="X82" i="5" s="1"/>
  <c r="AV81" i="5"/>
  <c r="AV82" i="5" s="1"/>
  <c r="S116" i="5"/>
  <c r="AG116" i="5"/>
  <c r="AS116" i="5"/>
  <c r="BC116" i="5" s="1"/>
  <c r="Q116" i="5"/>
  <c r="AD116" i="5"/>
  <c r="AP116" i="5"/>
  <c r="P116" i="5"/>
  <c r="AC116" i="5"/>
  <c r="AZ111" i="5"/>
  <c r="AX74" i="5"/>
  <c r="I81" i="5"/>
  <c r="I82" i="5" s="1"/>
  <c r="Y81" i="5"/>
  <c r="Y82" i="5" s="1"/>
  <c r="AK81" i="5"/>
  <c r="AK82" i="5" s="1"/>
  <c r="AW81" i="5"/>
  <c r="AW82" i="5" s="1"/>
  <c r="T116" i="5"/>
  <c r="AH116" i="5"/>
  <c r="AT116" i="5"/>
  <c r="BB33" i="5"/>
  <c r="BB38" i="5"/>
  <c r="BB59" i="5"/>
  <c r="AX113" i="5"/>
  <c r="AL81" i="5"/>
  <c r="AL82" i="5" s="1"/>
  <c r="BB95" i="5"/>
  <c r="BB101" i="5" s="1"/>
  <c r="U116" i="5"/>
  <c r="BC110" i="5"/>
  <c r="AX110" i="5"/>
  <c r="BB110" i="5" s="1"/>
  <c r="BB54" i="5"/>
  <c r="L115" i="5"/>
  <c r="O81" i="5"/>
  <c r="O82" i="5" s="1"/>
  <c r="AB81" i="5"/>
  <c r="AB82" i="5" s="1"/>
  <c r="AN81" i="5"/>
  <c r="AN82" i="5" s="1"/>
  <c r="I116" i="5"/>
  <c r="AK116" i="5"/>
  <c r="AW116" i="5"/>
  <c r="C113" i="5"/>
  <c r="C116" i="5" s="1"/>
  <c r="V116" i="5"/>
  <c r="BB21" i="5"/>
  <c r="L44" i="5"/>
  <c r="BB44" i="5" s="1"/>
  <c r="BB60" i="5"/>
  <c r="K113" i="5"/>
  <c r="AX115" i="5"/>
  <c r="P81" i="5"/>
  <c r="P82" i="5" s="1"/>
  <c r="AC81" i="5"/>
  <c r="AC82" i="5" s="1"/>
  <c r="AO81" i="5"/>
  <c r="AO82" i="5" s="1"/>
  <c r="BB90" i="5"/>
  <c r="Y116" i="5"/>
  <c r="AL116" i="5"/>
  <c r="BB9" i="5"/>
  <c r="AO116" i="5"/>
  <c r="Z116" i="5"/>
  <c r="L30" i="5"/>
  <c r="BB30" i="5" s="1"/>
  <c r="BB39" i="5"/>
  <c r="BB55" i="5"/>
  <c r="BB71" i="5"/>
  <c r="Q81" i="5"/>
  <c r="Q82" i="5" s="1"/>
  <c r="AD81" i="5"/>
  <c r="AD82" i="5" s="1"/>
  <c r="AP81" i="5"/>
  <c r="AP82" i="5" s="1"/>
  <c r="K116" i="5"/>
  <c r="BC109" i="5"/>
  <c r="BC108" i="5"/>
  <c r="H116" i="5"/>
  <c r="AZ79" i="5"/>
  <c r="AZ81" i="5" s="1"/>
  <c r="AZ82" i="5" s="1"/>
  <c r="R81" i="5"/>
  <c r="R82" i="5" s="1"/>
  <c r="AE81" i="5"/>
  <c r="AE82" i="5" s="1"/>
  <c r="AQ81" i="5"/>
  <c r="AQ82" i="5" s="1"/>
  <c r="BC112" i="5"/>
  <c r="BC113" i="5"/>
  <c r="AB116" i="5"/>
  <c r="AN116" i="5"/>
  <c r="AJ116" i="5"/>
  <c r="J22" i="5"/>
  <c r="J81" i="5" s="1"/>
  <c r="J82" i="5" s="1"/>
  <c r="BB40" i="5"/>
  <c r="BB112" i="5"/>
  <c r="E79" i="5"/>
  <c r="E81" i="5" s="1"/>
  <c r="E82" i="5" s="1"/>
  <c r="S81" i="5"/>
  <c r="S82" i="5" s="1"/>
  <c r="AF81" i="5"/>
  <c r="AF82" i="5" s="1"/>
  <c r="AR81" i="5"/>
  <c r="AR82" i="5" s="1"/>
  <c r="BB86" i="5"/>
  <c r="D116" i="5"/>
  <c r="O116" i="5"/>
  <c r="BC115" i="5"/>
  <c r="AX101" i="5"/>
  <c r="AV116" i="5"/>
  <c r="BB2" i="5"/>
  <c r="BB27" i="5"/>
  <c r="L109" i="5"/>
  <c r="BB46" i="5"/>
  <c r="BB52" i="5"/>
  <c r="L64" i="5"/>
  <c r="BB64" i="5" s="1"/>
  <c r="BB78" i="5"/>
  <c r="T81" i="5"/>
  <c r="T82" i="5" s="1"/>
  <c r="AG81" i="5"/>
  <c r="AG82" i="5" s="1"/>
  <c r="AS81" i="5"/>
  <c r="AS82" i="5" s="1"/>
  <c r="BB92" i="5"/>
  <c r="X108" i="5"/>
  <c r="X116" i="5" s="1"/>
  <c r="E113" i="5"/>
  <c r="E116" i="5" s="1"/>
  <c r="BB114" i="5"/>
  <c r="F116" i="5"/>
  <c r="AX108" i="5"/>
  <c r="G116" i="5"/>
  <c r="BB12" i="5"/>
  <c r="BB70" i="5"/>
  <c r="AX109" i="5"/>
  <c r="L8" i="5"/>
  <c r="L31" i="5"/>
  <c r="BB31" i="5" s="1"/>
  <c r="BB49" i="5"/>
  <c r="BC107" i="5"/>
  <c r="AZ109" i="5"/>
  <c r="BB53" i="5"/>
  <c r="C79" i="5"/>
  <c r="C81" i="5" s="1"/>
  <c r="C82" i="5" s="1"/>
  <c r="L101" i="5"/>
  <c r="L63" i="5"/>
  <c r="BB63" i="5" s="1"/>
  <c r="AX12" i="5"/>
  <c r="AX107" i="5" s="1"/>
  <c r="F79" i="5"/>
  <c r="F81" i="5" s="1"/>
  <c r="F82" i="5" s="1"/>
  <c r="G79" i="5"/>
  <c r="G81" i="5" s="1"/>
  <c r="G82" i="5" s="1"/>
  <c r="L5" i="5"/>
  <c r="Z22" i="5"/>
  <c r="Z81" i="5" s="1"/>
  <c r="Z82" i="5" s="1"/>
  <c r="AX22" i="5"/>
  <c r="K79" i="5"/>
  <c r="K81" i="5" s="1"/>
  <c r="K82" i="5" s="1"/>
  <c r="AX79" i="5"/>
  <c r="D89" i="6" l="1"/>
  <c r="C91" i="6"/>
  <c r="D91" i="6" s="1"/>
  <c r="B102" i="6"/>
  <c r="L113" i="5"/>
  <c r="BB113" i="5" s="1"/>
  <c r="AX116" i="5"/>
  <c r="AX81" i="5"/>
  <c r="AX82" i="5" s="1"/>
  <c r="BB109" i="5"/>
  <c r="L79" i="5"/>
  <c r="BB79" i="5" s="1"/>
  <c r="AZ116" i="5"/>
  <c r="BB115" i="5"/>
  <c r="L107" i="5"/>
  <c r="L22" i="5"/>
  <c r="BB22" i="5" s="1"/>
  <c r="BB8" i="5"/>
  <c r="L108" i="5"/>
  <c r="BB108" i="5" s="1"/>
  <c r="L116" i="5" l="1"/>
  <c r="BB116" i="5" s="1"/>
  <c r="BB107" i="5"/>
  <c r="BB81" i="5"/>
  <c r="L81" i="5"/>
  <c r="L82" i="5" s="1"/>
  <c r="BB82" i="5" l="1"/>
  <c r="BB105" i="5" s="1"/>
  <c r="BB104" i="5"/>
  <c r="C76" i="4" l="1"/>
  <c r="C77" i="4"/>
  <c r="C78" i="4"/>
  <c r="C79" i="4"/>
  <c r="C81" i="4"/>
  <c r="C71" i="4"/>
  <c r="C70" i="4"/>
  <c r="AL52" i="4"/>
  <c r="AL51" i="4"/>
  <c r="AL53" i="4" s="1"/>
  <c r="AK52" i="4"/>
  <c r="AK51" i="4"/>
  <c r="BA52" i="4"/>
  <c r="BA51" i="4"/>
  <c r="BA53" i="4" s="1"/>
  <c r="AZ52" i="4"/>
  <c r="AZ51" i="4"/>
  <c r="AU52" i="4"/>
  <c r="AU51" i="4"/>
  <c r="AV52" i="4"/>
  <c r="AV51" i="4"/>
  <c r="AQ52" i="4"/>
  <c r="AQ51" i="4"/>
  <c r="AQ53" i="4" s="1"/>
  <c r="AP52" i="4"/>
  <c r="AP51" i="4"/>
  <c r="AG52" i="4"/>
  <c r="AG51" i="4"/>
  <c r="AG53" i="4" s="1"/>
  <c r="AF52" i="4"/>
  <c r="AF51" i="4"/>
  <c r="AB52" i="4"/>
  <c r="AB51" i="4"/>
  <c r="AB53" i="4" s="1"/>
  <c r="AA52" i="4"/>
  <c r="AA51" i="4"/>
  <c r="AA53" i="4" s="1"/>
  <c r="W52" i="4"/>
  <c r="W51" i="4"/>
  <c r="W53" i="4" s="1"/>
  <c r="V52" i="4"/>
  <c r="V51" i="4"/>
  <c r="R52" i="4"/>
  <c r="R51" i="4"/>
  <c r="R53" i="4" s="1"/>
  <c r="Q52" i="4"/>
  <c r="Q51" i="4"/>
  <c r="M52" i="4"/>
  <c r="M51" i="4"/>
  <c r="M53" i="4" s="1"/>
  <c r="L52" i="4"/>
  <c r="L51" i="4"/>
  <c r="L53" i="4" s="1"/>
  <c r="AU53" i="4"/>
  <c r="H52" i="4"/>
  <c r="H51" i="4"/>
  <c r="E52" i="4"/>
  <c r="E51" i="4"/>
  <c r="D52" i="4"/>
  <c r="D51" i="4"/>
  <c r="R33" i="4"/>
  <c r="R32" i="4"/>
  <c r="O33" i="4"/>
  <c r="O32" i="4"/>
  <c r="N33" i="4"/>
  <c r="N32" i="4"/>
  <c r="J33" i="4"/>
  <c r="J32" i="4"/>
  <c r="I33" i="4"/>
  <c r="I32" i="4"/>
  <c r="E33" i="4"/>
  <c r="E32" i="4"/>
  <c r="D33" i="4"/>
  <c r="D32" i="4"/>
  <c r="AA25" i="4"/>
  <c r="AA24" i="4"/>
  <c r="AA23" i="4"/>
  <c r="AA22" i="4"/>
  <c r="AA21" i="4"/>
  <c r="AA20" i="4"/>
  <c r="AA19" i="4"/>
  <c r="AA18" i="4"/>
  <c r="X25" i="4"/>
  <c r="X24" i="4"/>
  <c r="X23" i="4"/>
  <c r="X22" i="4"/>
  <c r="X21" i="4"/>
  <c r="X20" i="4"/>
  <c r="X19" i="4"/>
  <c r="X18" i="4"/>
  <c r="R25" i="4"/>
  <c r="R24" i="4"/>
  <c r="R22" i="4"/>
  <c r="R21" i="4"/>
  <c r="R20" i="4"/>
  <c r="R19" i="4"/>
  <c r="R18" i="4"/>
  <c r="O25" i="4"/>
  <c r="O24" i="4"/>
  <c r="O22" i="4"/>
  <c r="O21" i="4"/>
  <c r="O20" i="4"/>
  <c r="O19" i="4"/>
  <c r="L25" i="4"/>
  <c r="L24" i="4"/>
  <c r="L23" i="4"/>
  <c r="L22" i="4"/>
  <c r="L20" i="4"/>
  <c r="L19" i="4"/>
  <c r="I25" i="4"/>
  <c r="I24" i="4"/>
  <c r="I23" i="4"/>
  <c r="I22" i="4"/>
  <c r="I21" i="4"/>
  <c r="I20" i="4"/>
  <c r="I19" i="4"/>
  <c r="I18" i="4"/>
  <c r="F25" i="4"/>
  <c r="F24" i="4"/>
  <c r="F23" i="4"/>
  <c r="F22" i="4"/>
  <c r="F21" i="4"/>
  <c r="F20" i="4"/>
  <c r="F19" i="4"/>
  <c r="F18" i="4"/>
  <c r="AY63" i="4"/>
  <c r="AY62" i="4"/>
  <c r="AY61" i="4"/>
  <c r="AY60" i="4"/>
  <c r="AY59" i="4"/>
  <c r="AY58" i="4"/>
  <c r="AY57" i="4"/>
  <c r="AY56" i="4"/>
  <c r="AY55" i="4"/>
  <c r="AY52" i="4"/>
  <c r="AY51" i="4"/>
  <c r="AX63" i="4"/>
  <c r="AX62" i="4"/>
  <c r="AX61" i="4"/>
  <c r="AX60" i="4"/>
  <c r="AX59" i="4"/>
  <c r="AX58" i="4"/>
  <c r="AX57" i="4"/>
  <c r="AX56" i="4"/>
  <c r="AX55" i="4"/>
  <c r="AX52" i="4"/>
  <c r="AX51" i="4"/>
  <c r="AT63" i="4"/>
  <c r="AT62" i="4"/>
  <c r="AT61" i="4"/>
  <c r="AT60" i="4"/>
  <c r="AT59" i="4"/>
  <c r="AT58" i="4"/>
  <c r="AT57" i="4"/>
  <c r="AT56" i="4"/>
  <c r="AT55" i="4"/>
  <c r="AT52" i="4"/>
  <c r="AT51" i="4"/>
  <c r="AS63" i="4"/>
  <c r="AS62" i="4"/>
  <c r="AS61" i="4"/>
  <c r="AS60" i="4"/>
  <c r="AS59" i="4"/>
  <c r="AS58" i="4"/>
  <c r="AS57" i="4"/>
  <c r="AS56" i="4"/>
  <c r="AS55" i="4"/>
  <c r="AS52" i="4"/>
  <c r="AS51" i="4"/>
  <c r="AO63" i="4"/>
  <c r="AO62" i="4"/>
  <c r="AO61" i="4"/>
  <c r="AO60" i="4"/>
  <c r="AO59" i="4"/>
  <c r="AO58" i="4"/>
  <c r="AO57" i="4"/>
  <c r="AO56" i="4"/>
  <c r="AO55" i="4"/>
  <c r="AO52" i="4"/>
  <c r="AO51" i="4"/>
  <c r="AO53" i="4" s="1"/>
  <c r="AN63" i="4"/>
  <c r="AN62" i="4"/>
  <c r="AN61" i="4"/>
  <c r="AN60" i="4"/>
  <c r="AN59" i="4"/>
  <c r="AN58" i="4"/>
  <c r="AN57" i="4"/>
  <c r="AN56" i="4"/>
  <c r="AN55" i="4"/>
  <c r="AN52" i="4"/>
  <c r="AN51" i="4"/>
  <c r="AN53" i="4" s="1"/>
  <c r="AJ63" i="4"/>
  <c r="AJ62" i="4"/>
  <c r="AJ61" i="4"/>
  <c r="AJ60" i="4"/>
  <c r="AJ59" i="4"/>
  <c r="AJ58" i="4"/>
  <c r="AJ57" i="4"/>
  <c r="AJ56" i="4"/>
  <c r="AJ55" i="4"/>
  <c r="AJ52" i="4"/>
  <c r="AJ53" i="4" s="1"/>
  <c r="AJ51" i="4"/>
  <c r="AI63" i="4"/>
  <c r="AI62" i="4"/>
  <c r="AI61" i="4"/>
  <c r="AI60" i="4"/>
  <c r="AI59" i="4"/>
  <c r="AI58" i="4"/>
  <c r="AI57" i="4"/>
  <c r="AI56" i="4"/>
  <c r="AI55" i="4"/>
  <c r="AI52" i="4"/>
  <c r="AI51" i="4"/>
  <c r="AI53" i="4" s="1"/>
  <c r="AE63" i="4"/>
  <c r="AE62" i="4"/>
  <c r="AE61" i="4"/>
  <c r="AE60" i="4"/>
  <c r="AE59" i="4"/>
  <c r="AE58" i="4"/>
  <c r="AE57" i="4"/>
  <c r="AE56" i="4"/>
  <c r="AE55" i="4"/>
  <c r="AE52" i="4"/>
  <c r="AE51" i="4"/>
  <c r="AD63" i="4"/>
  <c r="AD62" i="4"/>
  <c r="AD61" i="4"/>
  <c r="AD60" i="4"/>
  <c r="AD59" i="4"/>
  <c r="AD58" i="4"/>
  <c r="AD57" i="4"/>
  <c r="AD56" i="4"/>
  <c r="AD55" i="4"/>
  <c r="AD52" i="4"/>
  <c r="AD51" i="4"/>
  <c r="Z63" i="4"/>
  <c r="Z62" i="4"/>
  <c r="Z61" i="4"/>
  <c r="Z60" i="4"/>
  <c r="Z59" i="4"/>
  <c r="Z58" i="4"/>
  <c r="Z57" i="4"/>
  <c r="Z56" i="4"/>
  <c r="Z55" i="4"/>
  <c r="Z52" i="4"/>
  <c r="Z51" i="4"/>
  <c r="Y63" i="4"/>
  <c r="Y62" i="4"/>
  <c r="Y61" i="4"/>
  <c r="Y60" i="4"/>
  <c r="Y59" i="4"/>
  <c r="Y58" i="4"/>
  <c r="Y57" i="4"/>
  <c r="Y56" i="4"/>
  <c r="Y55" i="4"/>
  <c r="Y52" i="4"/>
  <c r="Y51" i="4"/>
  <c r="U63" i="4"/>
  <c r="U62" i="4"/>
  <c r="U61" i="4"/>
  <c r="U60" i="4"/>
  <c r="U59" i="4"/>
  <c r="U58" i="4"/>
  <c r="U57" i="4"/>
  <c r="U56" i="4"/>
  <c r="U55" i="4"/>
  <c r="U52" i="4"/>
  <c r="U51" i="4"/>
  <c r="T63" i="4"/>
  <c r="T62" i="4"/>
  <c r="T61" i="4"/>
  <c r="T60" i="4"/>
  <c r="T59" i="4"/>
  <c r="T58" i="4"/>
  <c r="T57" i="4"/>
  <c r="T56" i="4"/>
  <c r="T55" i="4"/>
  <c r="T52" i="4"/>
  <c r="T51" i="4"/>
  <c r="P63" i="4"/>
  <c r="P62" i="4"/>
  <c r="P61" i="4"/>
  <c r="P60" i="4"/>
  <c r="P59" i="4"/>
  <c r="P58" i="4"/>
  <c r="P57" i="4"/>
  <c r="P56" i="4"/>
  <c r="P55" i="4"/>
  <c r="P52" i="4"/>
  <c r="P51" i="4"/>
  <c r="O63" i="4"/>
  <c r="O62" i="4"/>
  <c r="O61" i="4"/>
  <c r="O60" i="4"/>
  <c r="O59" i="4"/>
  <c r="O58" i="4"/>
  <c r="O57" i="4"/>
  <c r="O56" i="4"/>
  <c r="O55" i="4"/>
  <c r="O52" i="4"/>
  <c r="O51" i="4"/>
  <c r="K63" i="4"/>
  <c r="K62" i="4"/>
  <c r="K61" i="4"/>
  <c r="K60" i="4"/>
  <c r="K59" i="4"/>
  <c r="K58" i="4"/>
  <c r="K57" i="4"/>
  <c r="K56" i="4"/>
  <c r="K55" i="4"/>
  <c r="K52" i="4"/>
  <c r="K51" i="4"/>
  <c r="J63" i="4"/>
  <c r="J62" i="4"/>
  <c r="J61" i="4"/>
  <c r="J60" i="4"/>
  <c r="J59" i="4"/>
  <c r="J58" i="4"/>
  <c r="J57" i="4"/>
  <c r="J56" i="4"/>
  <c r="J55" i="4"/>
  <c r="J52" i="4"/>
  <c r="J51" i="4"/>
  <c r="J53" i="4" s="1"/>
  <c r="G63" i="4"/>
  <c r="G62" i="4"/>
  <c r="G61" i="4"/>
  <c r="G60" i="4"/>
  <c r="G59" i="4"/>
  <c r="G58" i="4"/>
  <c r="G57" i="4"/>
  <c r="G56" i="4"/>
  <c r="G55" i="4"/>
  <c r="G52" i="4"/>
  <c r="G51" i="4"/>
  <c r="Z53" i="4"/>
  <c r="Q44" i="4"/>
  <c r="Q43" i="4"/>
  <c r="Q42" i="4"/>
  <c r="Q41" i="4"/>
  <c r="Q40" i="4"/>
  <c r="Q39" i="4"/>
  <c r="Q38" i="4"/>
  <c r="Q37" i="4"/>
  <c r="Q36" i="4"/>
  <c r="Q33" i="4"/>
  <c r="Q32" i="4"/>
  <c r="M44" i="4"/>
  <c r="M43" i="4"/>
  <c r="M42" i="4"/>
  <c r="M41" i="4"/>
  <c r="M40" i="4"/>
  <c r="M39" i="4"/>
  <c r="M38" i="4"/>
  <c r="M37" i="4"/>
  <c r="M36" i="4"/>
  <c r="M33" i="4"/>
  <c r="M32" i="4"/>
  <c r="L44" i="4"/>
  <c r="L43" i="4"/>
  <c r="L42" i="4"/>
  <c r="L41" i="4"/>
  <c r="L40" i="4"/>
  <c r="L39" i="4"/>
  <c r="L38" i="4"/>
  <c r="L37" i="4"/>
  <c r="L36" i="4"/>
  <c r="L33" i="4"/>
  <c r="L32" i="4"/>
  <c r="H44" i="4"/>
  <c r="H43" i="4"/>
  <c r="H42" i="4"/>
  <c r="H41" i="4"/>
  <c r="H40" i="4"/>
  <c r="H39" i="4"/>
  <c r="H38" i="4"/>
  <c r="H37" i="4"/>
  <c r="H36" i="4"/>
  <c r="H33" i="4"/>
  <c r="H32" i="4"/>
  <c r="G33" i="4"/>
  <c r="G32" i="4"/>
  <c r="G37" i="4"/>
  <c r="G38" i="4"/>
  <c r="G39" i="4"/>
  <c r="G40" i="4"/>
  <c r="G41" i="4"/>
  <c r="G42" i="4"/>
  <c r="G43" i="4"/>
  <c r="G44" i="4"/>
  <c r="G36" i="4"/>
  <c r="Z25" i="4"/>
  <c r="Z24" i="4"/>
  <c r="Z23" i="4"/>
  <c r="Z22" i="4"/>
  <c r="Z21" i="4"/>
  <c r="Z20" i="4"/>
  <c r="Z19" i="4"/>
  <c r="Z18" i="4"/>
  <c r="Z17" i="4"/>
  <c r="W25" i="4"/>
  <c r="W24" i="4"/>
  <c r="W23" i="4"/>
  <c r="W22" i="4"/>
  <c r="W21" i="4"/>
  <c r="W20" i="4"/>
  <c r="W19" i="4"/>
  <c r="W18" i="4"/>
  <c r="W17" i="4"/>
  <c r="T25" i="4"/>
  <c r="T24" i="4"/>
  <c r="T23" i="4"/>
  <c r="T22" i="4"/>
  <c r="T21" i="4"/>
  <c r="T20" i="4"/>
  <c r="T19" i="4"/>
  <c r="T18" i="4"/>
  <c r="T17" i="4"/>
  <c r="Q25" i="4"/>
  <c r="Q24" i="4"/>
  <c r="Q23" i="4"/>
  <c r="Q22" i="4"/>
  <c r="Q21" i="4"/>
  <c r="Q20" i="4"/>
  <c r="Q19" i="4"/>
  <c r="Q18" i="4"/>
  <c r="Q17" i="4"/>
  <c r="N25" i="4"/>
  <c r="N24" i="4"/>
  <c r="N23" i="4"/>
  <c r="N22" i="4"/>
  <c r="N21" i="4"/>
  <c r="N20" i="4"/>
  <c r="N19" i="4"/>
  <c r="N18" i="4"/>
  <c r="N17" i="4"/>
  <c r="K25" i="4"/>
  <c r="K24" i="4"/>
  <c r="K23" i="4"/>
  <c r="K22" i="4"/>
  <c r="K21" i="4"/>
  <c r="K20" i="4"/>
  <c r="K19" i="4"/>
  <c r="K18" i="4"/>
  <c r="K17" i="4"/>
  <c r="H25" i="4"/>
  <c r="H24" i="4"/>
  <c r="H23" i="4"/>
  <c r="H22" i="4"/>
  <c r="H21" i="4"/>
  <c r="H20" i="4"/>
  <c r="H19" i="4"/>
  <c r="H18" i="4"/>
  <c r="H17" i="4"/>
  <c r="E18" i="4"/>
  <c r="E19" i="4"/>
  <c r="E20" i="4"/>
  <c r="E21" i="4"/>
  <c r="E22" i="4"/>
  <c r="E23" i="4"/>
  <c r="E24" i="4"/>
  <c r="E17" i="4"/>
  <c r="C19" i="4"/>
  <c r="C20" i="4"/>
  <c r="C21" i="4"/>
  <c r="C22" i="4"/>
  <c r="C23" i="4"/>
  <c r="C24" i="4"/>
  <c r="C25" i="4"/>
  <c r="AZ116" i="2"/>
  <c r="B75" i="4"/>
  <c r="B76" i="4"/>
  <c r="B77" i="4"/>
  <c r="B78" i="4"/>
  <c r="B79" i="4"/>
  <c r="B80" i="4"/>
  <c r="B81" i="4"/>
  <c r="B74" i="4"/>
  <c r="B71" i="4"/>
  <c r="B70" i="4"/>
  <c r="C56" i="4"/>
  <c r="C57" i="4"/>
  <c r="C58" i="4"/>
  <c r="C59" i="4"/>
  <c r="C60" i="4"/>
  <c r="C61" i="4"/>
  <c r="C62" i="4"/>
  <c r="C63" i="4"/>
  <c r="C55" i="4"/>
  <c r="C52" i="4"/>
  <c r="C51" i="4"/>
  <c r="B56" i="4"/>
  <c r="B57" i="4"/>
  <c r="B58" i="4"/>
  <c r="B59" i="4"/>
  <c r="B60" i="4"/>
  <c r="B61" i="4"/>
  <c r="B62" i="4"/>
  <c r="B55" i="4"/>
  <c r="B52" i="4"/>
  <c r="B51" i="4"/>
  <c r="B18" i="4"/>
  <c r="B19" i="4"/>
  <c r="B20" i="4"/>
  <c r="B21" i="4"/>
  <c r="B22" i="4"/>
  <c r="B23" i="4"/>
  <c r="B24" i="4"/>
  <c r="B25" i="4"/>
  <c r="B17" i="4"/>
  <c r="C37" i="4"/>
  <c r="C38" i="4"/>
  <c r="C39" i="4"/>
  <c r="C40" i="4"/>
  <c r="C41" i="4"/>
  <c r="C42" i="4"/>
  <c r="C43" i="4"/>
  <c r="C44" i="4"/>
  <c r="C36" i="4"/>
  <c r="B33" i="4"/>
  <c r="B32" i="4"/>
  <c r="B34" i="4" s="1"/>
  <c r="B36" i="4"/>
  <c r="B37" i="4"/>
  <c r="B38" i="4"/>
  <c r="B39" i="4"/>
  <c r="B40" i="4"/>
  <c r="B41" i="4"/>
  <c r="B42" i="4"/>
  <c r="B43" i="4"/>
  <c r="B44" i="4"/>
  <c r="C33" i="4"/>
  <c r="C32" i="4"/>
  <c r="G53" i="4" l="1"/>
  <c r="Q53" i="4"/>
  <c r="AF53" i="4"/>
  <c r="N34" i="4"/>
  <c r="AE53" i="4"/>
  <c r="H53" i="4"/>
  <c r="O53" i="4"/>
  <c r="T53" i="4"/>
  <c r="AX53" i="4"/>
  <c r="AZ53" i="4"/>
  <c r="U53" i="4"/>
  <c r="Y64" i="4"/>
  <c r="AC25" i="4"/>
  <c r="M45" i="4"/>
  <c r="BC62" i="4"/>
  <c r="O34" i="4"/>
  <c r="E26" i="4"/>
  <c r="R34" i="4"/>
  <c r="Z64" i="4"/>
  <c r="AN64" i="4"/>
  <c r="AY53" i="4"/>
  <c r="P53" i="4"/>
  <c r="S53" i="4" s="1"/>
  <c r="U64" i="4"/>
  <c r="AT53" i="4"/>
  <c r="BC63" i="4"/>
  <c r="T36" i="4"/>
  <c r="K53" i="4"/>
  <c r="N53" i="4" s="1"/>
  <c r="I34" i="4"/>
  <c r="E53" i="4"/>
  <c r="Q26" i="4"/>
  <c r="AX64" i="4"/>
  <c r="AV53" i="4"/>
  <c r="N26" i="4"/>
  <c r="P64" i="4"/>
  <c r="AT64" i="4"/>
  <c r="Z26" i="4"/>
  <c r="O64" i="4"/>
  <c r="AS64" i="4"/>
  <c r="AO64" i="4"/>
  <c r="AY64" i="4"/>
  <c r="J64" i="4"/>
  <c r="K64" i="4"/>
  <c r="K26" i="4"/>
  <c r="G64" i="4"/>
  <c r="BC58" i="4"/>
  <c r="T64" i="4"/>
  <c r="AJ64" i="4"/>
  <c r="B26" i="4"/>
  <c r="C45" i="4"/>
  <c r="C64" i="4"/>
  <c r="W26" i="4"/>
  <c r="AI64" i="4"/>
  <c r="B64" i="4"/>
  <c r="H26" i="4"/>
  <c r="T26" i="4"/>
  <c r="B45" i="4"/>
  <c r="AD64" i="4"/>
  <c r="AE64" i="4"/>
  <c r="V53" i="4"/>
  <c r="X53" i="4" s="1"/>
  <c r="AP53" i="4"/>
  <c r="AK53" i="4"/>
  <c r="AM53" i="4" s="1"/>
  <c r="H45" i="4"/>
  <c r="J34" i="4"/>
  <c r="BD51" i="4"/>
  <c r="Q45" i="4"/>
  <c r="L45" i="4"/>
  <c r="AD53" i="4"/>
  <c r="AH53" i="4" s="1"/>
  <c r="Y53" i="4"/>
  <c r="AC53" i="4" s="1"/>
  <c r="AS53" i="4"/>
  <c r="G45" i="4"/>
  <c r="D70" i="4"/>
  <c r="C72" i="4"/>
  <c r="B72" i="4"/>
  <c r="AM52" i="4"/>
  <c r="AM51" i="4"/>
  <c r="AH51" i="4"/>
  <c r="AC51" i="4"/>
  <c r="X51" i="4"/>
  <c r="S52" i="4"/>
  <c r="S51" i="4"/>
  <c r="N52" i="4"/>
  <c r="N51" i="4"/>
  <c r="BD52" i="4"/>
  <c r="BC52" i="4"/>
  <c r="BC51" i="4"/>
  <c r="D53" i="4"/>
  <c r="C53" i="4"/>
  <c r="B53" i="4"/>
  <c r="U33" i="4"/>
  <c r="U32" i="4"/>
  <c r="T33" i="4"/>
  <c r="T32" i="4"/>
  <c r="S33" i="4"/>
  <c r="P33" i="4"/>
  <c r="P32" i="4"/>
  <c r="K33" i="4"/>
  <c r="K32" i="4"/>
  <c r="F33" i="4"/>
  <c r="Q34" i="4"/>
  <c r="M34" i="4"/>
  <c r="L34" i="4"/>
  <c r="H34" i="4"/>
  <c r="G34" i="4"/>
  <c r="C34" i="4"/>
  <c r="D34" i="4"/>
  <c r="E34" i="4"/>
  <c r="S34" i="4" l="1"/>
  <c r="K34" i="4"/>
  <c r="P34" i="4"/>
  <c r="D72" i="4"/>
  <c r="C90" i="4"/>
  <c r="C89" i="4"/>
  <c r="F34" i="4"/>
  <c r="B89" i="4"/>
  <c r="BE52" i="4"/>
  <c r="B90" i="4"/>
  <c r="BC53" i="4"/>
  <c r="T34" i="4"/>
  <c r="BE51" i="4"/>
  <c r="U34" i="4"/>
  <c r="BD53" i="4"/>
  <c r="V33" i="4"/>
  <c r="V32" i="4"/>
  <c r="D76" i="4"/>
  <c r="D77" i="4"/>
  <c r="D78" i="4"/>
  <c r="D79" i="4"/>
  <c r="D81" i="4"/>
  <c r="B83" i="4"/>
  <c r="BC56" i="4"/>
  <c r="BC57" i="4"/>
  <c r="BC59" i="4"/>
  <c r="BC60" i="4"/>
  <c r="BC61" i="4"/>
  <c r="BC55" i="4"/>
  <c r="T37" i="4"/>
  <c r="T38" i="4"/>
  <c r="T39" i="4"/>
  <c r="T40" i="4"/>
  <c r="T41" i="4"/>
  <c r="T42" i="4"/>
  <c r="T43" i="4"/>
  <c r="T44" i="4"/>
  <c r="B101" i="4" s="1"/>
  <c r="T45" i="4" l="1"/>
  <c r="D89" i="4"/>
  <c r="C91" i="4"/>
  <c r="D90" i="4"/>
  <c r="B91" i="4"/>
  <c r="BE53" i="4"/>
  <c r="V34" i="4"/>
  <c r="BC64" i="4"/>
  <c r="D91" i="4" l="1"/>
  <c r="AB23" i="4" l="1"/>
  <c r="AB19" i="4"/>
  <c r="AB18" i="4"/>
  <c r="Y23" i="4"/>
  <c r="Y18" i="4"/>
  <c r="S24" i="4"/>
  <c r="S19" i="4"/>
  <c r="S18" i="4"/>
  <c r="M23" i="4"/>
  <c r="J23" i="4"/>
  <c r="J19" i="4"/>
  <c r="J18" i="4"/>
  <c r="G24" i="4"/>
  <c r="G19" i="4"/>
  <c r="G20" i="4"/>
  <c r="G23" i="4"/>
  <c r="G18" i="4"/>
  <c r="D23" i="4"/>
  <c r="AC18" i="4"/>
  <c r="B94" i="4" s="1"/>
  <c r="AC19" i="4"/>
  <c r="B95" i="4" s="1"/>
  <c r="AC20" i="4"/>
  <c r="B96" i="4" s="1"/>
  <c r="AC21" i="4"/>
  <c r="B97" i="4" s="1"/>
  <c r="AC22" i="4"/>
  <c r="B98" i="4" s="1"/>
  <c r="AC23" i="4"/>
  <c r="B99" i="4" s="1"/>
  <c r="AC24" i="4"/>
  <c r="B100" i="4" s="1"/>
  <c r="AC17" i="4"/>
  <c r="B93" i="4" s="1"/>
  <c r="B102" i="4" l="1"/>
  <c r="AC26" i="4"/>
  <c r="BT109" i="2"/>
  <c r="BT110" i="2"/>
  <c r="BT111" i="2"/>
  <c r="BT112" i="2"/>
  <c r="BT113" i="2"/>
  <c r="BT114" i="2"/>
  <c r="BT115" i="2"/>
  <c r="BT116" i="2"/>
  <c r="BT117" i="2" s="1"/>
  <c r="BT108" i="2"/>
  <c r="BS117" i="2"/>
  <c r="BS109" i="2"/>
  <c r="BS110" i="2"/>
  <c r="BS111" i="2"/>
  <c r="BS112" i="2"/>
  <c r="BS113" i="2"/>
  <c r="BS114" i="2"/>
  <c r="BS115" i="2"/>
  <c r="BS116" i="2"/>
  <c r="BS108" i="2"/>
  <c r="BR117" i="2"/>
  <c r="BQ117" i="2"/>
  <c r="BR108" i="2"/>
  <c r="BR109" i="2"/>
  <c r="BR110" i="2"/>
  <c r="BR111" i="2"/>
  <c r="BR112" i="2"/>
  <c r="BR113" i="2"/>
  <c r="BR114" i="2"/>
  <c r="BR115" i="2"/>
  <c r="BR116" i="2"/>
  <c r="BQ109" i="2"/>
  <c r="BQ110" i="2"/>
  <c r="BQ111" i="2"/>
  <c r="BQ112" i="2"/>
  <c r="BQ113" i="2"/>
  <c r="BQ114" i="2"/>
  <c r="BQ115" i="2"/>
  <c r="BQ116" i="2"/>
  <c r="BQ108" i="2"/>
  <c r="AV1" i="4" l="1"/>
  <c r="C82" i="4" l="1"/>
  <c r="BA63" i="4"/>
  <c r="AZ63" i="4"/>
  <c r="AV63" i="4"/>
  <c r="AU63" i="4"/>
  <c r="AQ63" i="4"/>
  <c r="AP63" i="4"/>
  <c r="AL63" i="4"/>
  <c r="AK63" i="4"/>
  <c r="AG63" i="4"/>
  <c r="AF63" i="4"/>
  <c r="AB63" i="4"/>
  <c r="AA63" i="4"/>
  <c r="V63" i="4"/>
  <c r="M63" i="4"/>
  <c r="L63" i="4"/>
  <c r="H63" i="4"/>
  <c r="E63" i="4"/>
  <c r="R44" i="4"/>
  <c r="O44" i="4"/>
  <c r="N44" i="4"/>
  <c r="J44" i="4"/>
  <c r="I44" i="4"/>
  <c r="E44" i="4"/>
  <c r="D44" i="4"/>
  <c r="BA62" i="4"/>
  <c r="AZ62" i="4"/>
  <c r="AV62" i="4"/>
  <c r="AU62" i="4"/>
  <c r="AQ62" i="4"/>
  <c r="AP62" i="4"/>
  <c r="AL62" i="4"/>
  <c r="AK62" i="4"/>
  <c r="AG62" i="4"/>
  <c r="AF62" i="4"/>
  <c r="AB62" i="4"/>
  <c r="AA62" i="4"/>
  <c r="V62" i="4"/>
  <c r="M62" i="4"/>
  <c r="L62" i="4"/>
  <c r="H62" i="4"/>
  <c r="E62" i="4"/>
  <c r="R43" i="4"/>
  <c r="O43" i="4"/>
  <c r="N43" i="4"/>
  <c r="J43" i="4"/>
  <c r="I43" i="4"/>
  <c r="E43" i="4"/>
  <c r="D43" i="4"/>
  <c r="BA61" i="4"/>
  <c r="AZ61" i="4"/>
  <c r="AV61" i="4"/>
  <c r="AU61" i="4"/>
  <c r="AQ61" i="4"/>
  <c r="AP61" i="4"/>
  <c r="AL61" i="4"/>
  <c r="AK61" i="4"/>
  <c r="AG61" i="4"/>
  <c r="AF61" i="4"/>
  <c r="AB61" i="4"/>
  <c r="AA61" i="4"/>
  <c r="V61" i="4"/>
  <c r="M61" i="4"/>
  <c r="L61" i="4"/>
  <c r="R42" i="4"/>
  <c r="O42" i="4"/>
  <c r="J42" i="4"/>
  <c r="I42" i="4"/>
  <c r="E42" i="4"/>
  <c r="D42" i="4"/>
  <c r="BA60" i="4"/>
  <c r="AZ60" i="4"/>
  <c r="AV60" i="4"/>
  <c r="AU60" i="4"/>
  <c r="AQ60" i="4"/>
  <c r="AP60" i="4"/>
  <c r="AL60" i="4"/>
  <c r="AK60" i="4"/>
  <c r="AM60" i="4" s="1"/>
  <c r="AG60" i="4"/>
  <c r="AB60" i="4"/>
  <c r="M60" i="4"/>
  <c r="L60" i="4"/>
  <c r="H60" i="4"/>
  <c r="E60" i="4"/>
  <c r="O41" i="4"/>
  <c r="J41" i="4"/>
  <c r="I41" i="4"/>
  <c r="E41" i="4"/>
  <c r="D41" i="4"/>
  <c r="AZ59" i="4"/>
  <c r="AU59" i="4"/>
  <c r="AP59" i="4"/>
  <c r="AL59" i="4"/>
  <c r="AK59" i="4"/>
  <c r="AJ59" i="6"/>
  <c r="AJ64" i="6" s="1"/>
  <c r="H59" i="4"/>
  <c r="R40" i="4"/>
  <c r="BA58" i="4"/>
  <c r="AZ58" i="4"/>
  <c r="AV58" i="4"/>
  <c r="AU58" i="4"/>
  <c r="AQ58" i="4"/>
  <c r="AP58" i="4"/>
  <c r="AL58" i="4"/>
  <c r="AK58" i="4"/>
  <c r="AG58" i="4"/>
  <c r="AF58" i="4"/>
  <c r="AB58" i="4"/>
  <c r="AA58" i="4"/>
  <c r="V58" i="4"/>
  <c r="M58" i="4"/>
  <c r="L58" i="4"/>
  <c r="H58" i="4"/>
  <c r="E58" i="4"/>
  <c r="R39" i="4"/>
  <c r="O39" i="4"/>
  <c r="J39" i="4"/>
  <c r="I39" i="4"/>
  <c r="K39" i="4" s="1"/>
  <c r="E39" i="4"/>
  <c r="D39" i="4"/>
  <c r="BA57" i="4"/>
  <c r="AV57" i="4"/>
  <c r="AU57" i="4"/>
  <c r="AQ57" i="4"/>
  <c r="AP57" i="4"/>
  <c r="AR57" i="4" s="1"/>
  <c r="AL57" i="4"/>
  <c r="AK57" i="4"/>
  <c r="AG57" i="4"/>
  <c r="AB57" i="4"/>
  <c r="AA57" i="4"/>
  <c r="M57" i="4"/>
  <c r="H57" i="4"/>
  <c r="R38" i="4"/>
  <c r="O38" i="4"/>
  <c r="N38" i="4"/>
  <c r="J38" i="4"/>
  <c r="E38" i="4"/>
  <c r="BA56" i="4"/>
  <c r="AZ56" i="4"/>
  <c r="AV56" i="4"/>
  <c r="AU56" i="4"/>
  <c r="AQ56" i="4"/>
  <c r="AP56" i="4"/>
  <c r="AL56" i="4"/>
  <c r="AK56" i="4"/>
  <c r="AG56" i="4"/>
  <c r="AB56" i="4"/>
  <c r="AA56" i="4"/>
  <c r="AC56" i="4" s="1"/>
  <c r="M56" i="4"/>
  <c r="L56" i="4"/>
  <c r="R37" i="4"/>
  <c r="N37" i="4"/>
  <c r="I37" i="4"/>
  <c r="AZ55" i="4"/>
  <c r="AU55" i="4"/>
  <c r="AP55" i="4"/>
  <c r="AK55" i="4"/>
  <c r="AG55" i="4"/>
  <c r="AF55" i="4"/>
  <c r="AB55" i="4"/>
  <c r="AA55" i="4"/>
  <c r="V55" i="4"/>
  <c r="Q55" i="4"/>
  <c r="M55" i="4"/>
  <c r="L55" i="4"/>
  <c r="D55" i="4"/>
  <c r="R36" i="4"/>
  <c r="N36" i="4"/>
  <c r="I17" i="4"/>
  <c r="I26" i="4" s="1"/>
  <c r="J26" i="4" s="1"/>
  <c r="C17" i="4"/>
  <c r="E61" i="4"/>
  <c r="N42" i="4"/>
  <c r="N41" i="4"/>
  <c r="P41" i="4" s="1"/>
  <c r="N39" i="4"/>
  <c r="P39" i="4" s="1"/>
  <c r="E57" i="4"/>
  <c r="AF57" i="4"/>
  <c r="V57" i="4"/>
  <c r="L57" i="4"/>
  <c r="D56" i="6"/>
  <c r="AF56" i="4"/>
  <c r="V56" i="4"/>
  <c r="BA55" i="4"/>
  <c r="AV55" i="4"/>
  <c r="E55" i="4"/>
  <c r="AA17" i="4"/>
  <c r="X17" i="4"/>
  <c r="F17" i="4"/>
  <c r="R41" i="4" l="1"/>
  <c r="S41" i="4" s="1"/>
  <c r="W41" i="6"/>
  <c r="J37" i="4"/>
  <c r="K37" i="4" s="1"/>
  <c r="O37" i="6"/>
  <c r="E37" i="4"/>
  <c r="E37" i="6"/>
  <c r="D37" i="4"/>
  <c r="D37" i="6"/>
  <c r="I38" i="4"/>
  <c r="N38" i="6"/>
  <c r="P38" i="6" s="1"/>
  <c r="D38" i="4"/>
  <c r="F38" i="4" s="1"/>
  <c r="D38" i="6"/>
  <c r="R62" i="4"/>
  <c r="Z62" i="6"/>
  <c r="R61" i="4"/>
  <c r="Z61" i="6"/>
  <c r="R63" i="4"/>
  <c r="Z63" i="6"/>
  <c r="R60" i="4"/>
  <c r="Z60" i="6"/>
  <c r="Q61" i="4"/>
  <c r="Y61" i="6"/>
  <c r="Q63" i="4"/>
  <c r="Y63" i="6"/>
  <c r="Q60" i="4"/>
  <c r="Y60" i="6"/>
  <c r="Q62" i="4"/>
  <c r="Y62" i="6"/>
  <c r="BQ62" i="6" s="1"/>
  <c r="BR62" i="6" s="1"/>
  <c r="R59" i="4"/>
  <c r="Z59" i="6"/>
  <c r="R57" i="4"/>
  <c r="Z57" i="6"/>
  <c r="R56" i="4"/>
  <c r="Z56" i="6"/>
  <c r="R58" i="4"/>
  <c r="Z58" i="6"/>
  <c r="Q59" i="4"/>
  <c r="Y59" i="6"/>
  <c r="AA59" i="6" s="1"/>
  <c r="Q57" i="4"/>
  <c r="S57" i="4" s="1"/>
  <c r="Y57" i="6"/>
  <c r="AA57" i="6" s="1"/>
  <c r="Q56" i="4"/>
  <c r="S56" i="4" s="1"/>
  <c r="Y56" i="6"/>
  <c r="Y64" i="6" s="1"/>
  <c r="Q58" i="4"/>
  <c r="Y58" i="6"/>
  <c r="U57" i="6"/>
  <c r="U64" i="6" s="1"/>
  <c r="T57" i="6"/>
  <c r="R55" i="4"/>
  <c r="Z55" i="6"/>
  <c r="BA59" i="4"/>
  <c r="BN59" i="6"/>
  <c r="AV59" i="4"/>
  <c r="BI59" i="6"/>
  <c r="AQ59" i="4"/>
  <c r="BD59" i="6"/>
  <c r="E59" i="4"/>
  <c r="E59" i="6"/>
  <c r="L21" i="6"/>
  <c r="M21" i="6" s="1"/>
  <c r="L21" i="4"/>
  <c r="M21" i="4" s="1"/>
  <c r="AG59" i="4"/>
  <c r="AT59" i="6"/>
  <c r="AT64" i="6" s="1"/>
  <c r="AF59" i="4"/>
  <c r="AS59" i="6"/>
  <c r="AU59" i="6" s="1"/>
  <c r="AB59" i="4"/>
  <c r="AO59" i="6"/>
  <c r="AO64" i="6" s="1"/>
  <c r="AA59" i="4"/>
  <c r="AN59" i="6"/>
  <c r="AP59" i="6" s="1"/>
  <c r="V59" i="4"/>
  <c r="AI59" i="6"/>
  <c r="AK59" i="6" s="1"/>
  <c r="M59" i="4"/>
  <c r="P59" i="6"/>
  <c r="P64" i="6" s="1"/>
  <c r="L59" i="4"/>
  <c r="L64" i="4" s="1"/>
  <c r="O59" i="6"/>
  <c r="N40" i="4"/>
  <c r="P40" i="4" s="1"/>
  <c r="S40" i="6"/>
  <c r="S45" i="6" s="1"/>
  <c r="O40" i="4"/>
  <c r="T40" i="6"/>
  <c r="I40" i="4"/>
  <c r="K40" i="4" s="1"/>
  <c r="N40" i="6"/>
  <c r="N45" i="6" s="1"/>
  <c r="J40" i="4"/>
  <c r="O40" i="6"/>
  <c r="D40" i="4"/>
  <c r="D40" i="6"/>
  <c r="E40" i="4"/>
  <c r="E40" i="6"/>
  <c r="D64" i="6"/>
  <c r="F56" i="6"/>
  <c r="L18" i="6"/>
  <c r="M18" i="6" s="1"/>
  <c r="L18" i="4"/>
  <c r="M18" i="4" s="1"/>
  <c r="U19" i="4"/>
  <c r="AD19" i="4" s="1"/>
  <c r="AE19" i="4" s="1"/>
  <c r="U19" i="6"/>
  <c r="AD19" i="6" s="1"/>
  <c r="U20" i="4"/>
  <c r="AD20" i="4" s="1"/>
  <c r="AE20" i="4" s="1"/>
  <c r="U20" i="6"/>
  <c r="AD20" i="6" s="1"/>
  <c r="U23" i="4"/>
  <c r="U23" i="6"/>
  <c r="U22" i="4"/>
  <c r="AD22" i="4" s="1"/>
  <c r="U22" i="6"/>
  <c r="AD22" i="6" s="1"/>
  <c r="U18" i="4"/>
  <c r="U18" i="6"/>
  <c r="V18" i="6" s="1"/>
  <c r="U25" i="4"/>
  <c r="AD25" i="4" s="1"/>
  <c r="U25" i="6"/>
  <c r="AD25" i="6" s="1"/>
  <c r="U21" i="4"/>
  <c r="U21" i="6"/>
  <c r="AD21" i="6" s="1"/>
  <c r="U24" i="4"/>
  <c r="AD24" i="4" s="1"/>
  <c r="AE24" i="4" s="1"/>
  <c r="U24" i="6"/>
  <c r="AD24" i="6" s="1"/>
  <c r="O23" i="6"/>
  <c r="P23" i="6" s="1"/>
  <c r="O23" i="4"/>
  <c r="P23" i="4" s="1"/>
  <c r="C80" i="6"/>
  <c r="D80" i="6" s="1"/>
  <c r="C80" i="4"/>
  <c r="D80" i="4" s="1"/>
  <c r="C75" i="6"/>
  <c r="D75" i="6" s="1"/>
  <c r="C75" i="4"/>
  <c r="D75" i="4" s="1"/>
  <c r="H61" i="4"/>
  <c r="I61" i="4" s="1"/>
  <c r="H61" i="6"/>
  <c r="H56" i="4"/>
  <c r="H56" i="6"/>
  <c r="R23" i="6"/>
  <c r="R23" i="4"/>
  <c r="S23" i="4" s="1"/>
  <c r="C74" i="4"/>
  <c r="C74" i="6"/>
  <c r="H55" i="6"/>
  <c r="U17" i="4"/>
  <c r="V17" i="4" s="1"/>
  <c r="U17" i="6"/>
  <c r="R17" i="4"/>
  <c r="R26" i="4" s="1"/>
  <c r="S26" i="4" s="1"/>
  <c r="R17" i="6"/>
  <c r="O17" i="4"/>
  <c r="O17" i="6"/>
  <c r="P17" i="6" s="1"/>
  <c r="AM57" i="4"/>
  <c r="AH57" i="4"/>
  <c r="P42" i="4"/>
  <c r="S59" i="4"/>
  <c r="J36" i="4"/>
  <c r="O36" i="6"/>
  <c r="E36" i="4"/>
  <c r="E45" i="4" s="1"/>
  <c r="E36" i="6"/>
  <c r="AF60" i="4"/>
  <c r="AH60" i="4" s="1"/>
  <c r="AS60" i="6"/>
  <c r="AS64" i="6" s="1"/>
  <c r="AU64" i="6" s="1"/>
  <c r="AA60" i="4"/>
  <c r="AC60" i="4" s="1"/>
  <c r="AN60" i="6"/>
  <c r="V60" i="4"/>
  <c r="AI60" i="6"/>
  <c r="S55" i="4"/>
  <c r="AM59" i="4"/>
  <c r="AM56" i="4"/>
  <c r="AM62" i="4"/>
  <c r="N57" i="4"/>
  <c r="K38" i="4"/>
  <c r="V18" i="4"/>
  <c r="P38" i="4"/>
  <c r="K41" i="4"/>
  <c r="K42" i="4"/>
  <c r="U43" i="4"/>
  <c r="U42" i="4"/>
  <c r="V42" i="4" s="1"/>
  <c r="U44" i="4"/>
  <c r="U39" i="4"/>
  <c r="V39" i="4" s="1"/>
  <c r="F41" i="4"/>
  <c r="U41" i="4"/>
  <c r="V41" i="4" s="1"/>
  <c r="F37" i="4"/>
  <c r="AW57" i="4"/>
  <c r="AC57" i="4"/>
  <c r="BB59" i="4"/>
  <c r="BB61" i="4"/>
  <c r="BB56" i="4"/>
  <c r="AR59" i="4"/>
  <c r="BA64" i="4"/>
  <c r="AV64" i="4"/>
  <c r="AW58" i="4"/>
  <c r="AW59" i="4"/>
  <c r="AW61" i="4"/>
  <c r="AR58" i="4"/>
  <c r="AR62" i="4"/>
  <c r="AR61" i="4"/>
  <c r="AR56" i="4"/>
  <c r="AH59" i="4"/>
  <c r="AH58" i="4"/>
  <c r="AG64" i="4"/>
  <c r="AH56" i="4"/>
  <c r="AB64" i="4"/>
  <c r="AC58" i="4"/>
  <c r="AC59" i="4"/>
  <c r="M64" i="4"/>
  <c r="N56" i="4"/>
  <c r="D59" i="4"/>
  <c r="D61" i="4"/>
  <c r="D58" i="4"/>
  <c r="D63" i="4"/>
  <c r="D60" i="4"/>
  <c r="D62" i="4"/>
  <c r="D56" i="4"/>
  <c r="W57" i="4"/>
  <c r="W58" i="4"/>
  <c r="W63" i="4"/>
  <c r="W60" i="4"/>
  <c r="W59" i="4"/>
  <c r="W61" i="4"/>
  <c r="W62" i="4"/>
  <c r="W56" i="4"/>
  <c r="D74" i="4"/>
  <c r="Q64" i="4"/>
  <c r="AH55" i="4"/>
  <c r="R45" i="4"/>
  <c r="S45" i="4" s="1"/>
  <c r="AA26" i="4"/>
  <c r="AB26" i="4" s="1"/>
  <c r="AB17" i="4"/>
  <c r="D36" i="4"/>
  <c r="F55" i="4"/>
  <c r="AL55" i="4"/>
  <c r="AL64" i="4" s="1"/>
  <c r="X26" i="4"/>
  <c r="Y26" i="4" s="1"/>
  <c r="Y17" i="4"/>
  <c r="F26" i="4"/>
  <c r="G26" i="4" s="1"/>
  <c r="G17" i="4"/>
  <c r="H55" i="4"/>
  <c r="N55" i="4"/>
  <c r="AP64" i="4"/>
  <c r="D17" i="4"/>
  <c r="AK64" i="4"/>
  <c r="P17" i="4"/>
  <c r="AQ55" i="4"/>
  <c r="AQ64" i="4" s="1"/>
  <c r="I36" i="4"/>
  <c r="AU64" i="4"/>
  <c r="AW55" i="4"/>
  <c r="AC55" i="4"/>
  <c r="BB55" i="4"/>
  <c r="W55" i="4"/>
  <c r="L17" i="6"/>
  <c r="E56" i="6"/>
  <c r="AB39" i="2"/>
  <c r="N39" i="2"/>
  <c r="H30" i="2"/>
  <c r="BQ58" i="6" l="1"/>
  <c r="BR58" i="6" s="1"/>
  <c r="R64" i="4"/>
  <c r="AD21" i="4"/>
  <c r="AE21" i="4" s="1"/>
  <c r="N59" i="4"/>
  <c r="U38" i="4"/>
  <c r="V38" i="4" s="1"/>
  <c r="U40" i="6"/>
  <c r="N45" i="4"/>
  <c r="Z41" i="6"/>
  <c r="AA41" i="6" s="1"/>
  <c r="W45" i="6"/>
  <c r="X45" i="6" s="1"/>
  <c r="X41" i="6"/>
  <c r="O37" i="4"/>
  <c r="P37" i="4" s="1"/>
  <c r="T37" i="6"/>
  <c r="U37" i="6" s="1"/>
  <c r="P40" i="6"/>
  <c r="D45" i="6"/>
  <c r="Z38" i="6"/>
  <c r="AA38" i="6" s="1"/>
  <c r="F38" i="6"/>
  <c r="BQ63" i="6"/>
  <c r="BQ56" i="6"/>
  <c r="BR56" i="6" s="1"/>
  <c r="T64" i="6"/>
  <c r="V64" i="6" s="1"/>
  <c r="V57" i="6"/>
  <c r="AA55" i="6"/>
  <c r="Z64" i="6"/>
  <c r="AA64" i="6" s="1"/>
  <c r="AD23" i="4"/>
  <c r="AE23" i="4" s="1"/>
  <c r="S17" i="4"/>
  <c r="J45" i="4"/>
  <c r="AF64" i="4"/>
  <c r="S64" i="4"/>
  <c r="F40" i="4"/>
  <c r="BO59" i="6"/>
  <c r="BN64" i="6"/>
  <c r="BI64" i="6"/>
  <c r="BJ64" i="6" s="1"/>
  <c r="BJ59" i="6"/>
  <c r="BE59" i="6"/>
  <c r="BD64" i="6"/>
  <c r="BE64" i="6" s="1"/>
  <c r="F59" i="6"/>
  <c r="E64" i="6"/>
  <c r="F64" i="6" s="1"/>
  <c r="BQ59" i="6"/>
  <c r="BR59" i="6" s="1"/>
  <c r="O64" i="6"/>
  <c r="Q64" i="6" s="1"/>
  <c r="Q59" i="6"/>
  <c r="U40" i="4"/>
  <c r="V40" i="4" s="1"/>
  <c r="F40" i="6"/>
  <c r="Z40" i="6"/>
  <c r="AA40" i="6" s="1"/>
  <c r="C83" i="4"/>
  <c r="D121" i="4" s="1"/>
  <c r="C18" i="6"/>
  <c r="C18" i="4"/>
  <c r="AZ57" i="4"/>
  <c r="BB57" i="4" s="1"/>
  <c r="BM57" i="6"/>
  <c r="AE24" i="6"/>
  <c r="C100" i="6"/>
  <c r="D100" i="6" s="1"/>
  <c r="AE20" i="6"/>
  <c r="AE21" i="6"/>
  <c r="AE19" i="6"/>
  <c r="I61" i="6"/>
  <c r="BQ61" i="6"/>
  <c r="BR61" i="6" s="1"/>
  <c r="S23" i="6"/>
  <c r="AD23" i="6"/>
  <c r="C83" i="6"/>
  <c r="D83" i="6" s="1"/>
  <c r="D74" i="6"/>
  <c r="BQ55" i="6"/>
  <c r="BR55" i="6" s="1"/>
  <c r="H64" i="6"/>
  <c r="I64" i="6" s="1"/>
  <c r="I55" i="6"/>
  <c r="U26" i="4"/>
  <c r="V26" i="4" s="1"/>
  <c r="U26" i="6"/>
  <c r="V26" i="6" s="1"/>
  <c r="V17" i="6"/>
  <c r="R26" i="6"/>
  <c r="S26" i="6" s="1"/>
  <c r="S17" i="6"/>
  <c r="M17" i="6"/>
  <c r="AD17" i="6"/>
  <c r="AE17" i="6" s="1"/>
  <c r="L26" i="6"/>
  <c r="M26" i="6" s="1"/>
  <c r="AA64" i="4"/>
  <c r="AC64" i="4" s="1"/>
  <c r="BD60" i="4"/>
  <c r="BE60" i="4" s="1"/>
  <c r="BD63" i="4"/>
  <c r="C101" i="4" s="1"/>
  <c r="BD55" i="4"/>
  <c r="AM64" i="4"/>
  <c r="BD58" i="4"/>
  <c r="F61" i="4"/>
  <c r="BD61" i="4"/>
  <c r="BE61" i="4" s="1"/>
  <c r="BD59" i="4"/>
  <c r="BD62" i="4"/>
  <c r="BE62" i="4" s="1"/>
  <c r="V64" i="4"/>
  <c r="O18" i="6"/>
  <c r="O18" i="4"/>
  <c r="T36" i="6"/>
  <c r="Z36" i="6" s="1"/>
  <c r="P36" i="6"/>
  <c r="O45" i="6"/>
  <c r="P45" i="6" s="1"/>
  <c r="F36" i="6"/>
  <c r="E45" i="6"/>
  <c r="AN64" i="6"/>
  <c r="AP64" i="6" s="1"/>
  <c r="AP60" i="6"/>
  <c r="BQ60" i="6"/>
  <c r="AI64" i="6"/>
  <c r="AK64" i="6" s="1"/>
  <c r="F59" i="4"/>
  <c r="F58" i="4"/>
  <c r="F62" i="4"/>
  <c r="AM55" i="4"/>
  <c r="AW64" i="4"/>
  <c r="N64" i="4"/>
  <c r="AZ64" i="4"/>
  <c r="BB64" i="4" s="1"/>
  <c r="AH64" i="4"/>
  <c r="E56" i="4"/>
  <c r="E64" i="4" s="1"/>
  <c r="D57" i="4"/>
  <c r="BD57" i="4" s="1"/>
  <c r="X58" i="4"/>
  <c r="X59" i="4"/>
  <c r="X57" i="4"/>
  <c r="X56" i="4"/>
  <c r="AR55" i="4"/>
  <c r="AR64" i="4"/>
  <c r="L17" i="4"/>
  <c r="I45" i="4"/>
  <c r="K45" i="4" s="1"/>
  <c r="K36" i="4"/>
  <c r="D45" i="4"/>
  <c r="F45" i="4" s="1"/>
  <c r="F36" i="4"/>
  <c r="O36" i="4"/>
  <c r="H64" i="4"/>
  <c r="I64" i="4" s="1"/>
  <c r="I55" i="4"/>
  <c r="W64" i="4"/>
  <c r="X64" i="4" s="1"/>
  <c r="X55" i="4"/>
  <c r="U11" i="2"/>
  <c r="C98" i="4" l="1"/>
  <c r="D98" i="4" s="1"/>
  <c r="U37" i="4"/>
  <c r="V37" i="4" s="1"/>
  <c r="C96" i="6"/>
  <c r="D96" i="6" s="1"/>
  <c r="F45" i="6"/>
  <c r="Z37" i="6"/>
  <c r="D83" i="4"/>
  <c r="D123" i="4"/>
  <c r="C97" i="6"/>
  <c r="D97" i="6" s="1"/>
  <c r="D18" i="4"/>
  <c r="C26" i="4"/>
  <c r="D26" i="4" s="1"/>
  <c r="C26" i="6"/>
  <c r="D26" i="6" s="1"/>
  <c r="D18" i="6"/>
  <c r="BQ57" i="6"/>
  <c r="BQ64" i="6" s="1"/>
  <c r="BM64" i="6"/>
  <c r="BO64" i="6" s="1"/>
  <c r="BO57" i="6"/>
  <c r="AE23" i="6"/>
  <c r="C99" i="6"/>
  <c r="D99" i="6" s="1"/>
  <c r="BD56" i="4"/>
  <c r="BD64" i="4" s="1"/>
  <c r="BE64" i="4" s="1"/>
  <c r="C100" i="4"/>
  <c r="D100" i="4" s="1"/>
  <c r="P18" i="4"/>
  <c r="AD18" i="4"/>
  <c r="AE18" i="4" s="1"/>
  <c r="O26" i="4"/>
  <c r="P26" i="4" s="1"/>
  <c r="AD18" i="6"/>
  <c r="P18" i="6"/>
  <c r="O26" i="6"/>
  <c r="P26" i="6" s="1"/>
  <c r="U36" i="6"/>
  <c r="T45" i="6"/>
  <c r="U45" i="6" s="1"/>
  <c r="AA36" i="6"/>
  <c r="Z45" i="6"/>
  <c r="AA45" i="6" s="1"/>
  <c r="C93" i="6"/>
  <c r="D93" i="6" s="1"/>
  <c r="BR60" i="6"/>
  <c r="C98" i="6"/>
  <c r="C99" i="4"/>
  <c r="D99" i="4" s="1"/>
  <c r="F56" i="4"/>
  <c r="F57" i="4"/>
  <c r="D64" i="4"/>
  <c r="F64" i="4" s="1"/>
  <c r="BE58" i="4"/>
  <c r="C96" i="4"/>
  <c r="D96" i="4" s="1"/>
  <c r="BE57" i="4"/>
  <c r="C95" i="4"/>
  <c r="D95" i="4" s="1"/>
  <c r="BE59" i="4"/>
  <c r="C97" i="4"/>
  <c r="D97" i="4" s="1"/>
  <c r="L26" i="4"/>
  <c r="M26" i="4" s="1"/>
  <c r="M17" i="4"/>
  <c r="AD17" i="4"/>
  <c r="O45" i="4"/>
  <c r="P45" i="4" s="1"/>
  <c r="U36" i="4"/>
  <c r="P36" i="4"/>
  <c r="BE55" i="4"/>
  <c r="AW12" i="2"/>
  <c r="AW9" i="2"/>
  <c r="AW8" i="2"/>
  <c r="AU12" i="2"/>
  <c r="AU8" i="2"/>
  <c r="AS12" i="2"/>
  <c r="AS8" i="2"/>
  <c r="U58" i="2"/>
  <c r="U27" i="2"/>
  <c r="U21" i="2"/>
  <c r="U18" i="2"/>
  <c r="U17" i="2"/>
  <c r="U15" i="2"/>
  <c r="U14" i="2"/>
  <c r="U12" i="2"/>
  <c r="U9" i="2"/>
  <c r="U8" i="2"/>
  <c r="Y12" i="2"/>
  <c r="Y8" i="2"/>
  <c r="BR57" i="6" l="1"/>
  <c r="C95" i="6"/>
  <c r="D95" i="6" s="1"/>
  <c r="C94" i="6"/>
  <c r="D94" i="6" s="1"/>
  <c r="AD26" i="6"/>
  <c r="AE26" i="6" s="1"/>
  <c r="AE18" i="6"/>
  <c r="BR64" i="6"/>
  <c r="D98" i="6"/>
  <c r="C94" i="4"/>
  <c r="D94" i="4" s="1"/>
  <c r="BE56" i="4"/>
  <c r="C93" i="4"/>
  <c r="D93" i="4" s="1"/>
  <c r="AD26" i="4"/>
  <c r="B121" i="4" s="1"/>
  <c r="AE17" i="4"/>
  <c r="V36" i="4"/>
  <c r="U45" i="4"/>
  <c r="C121" i="4" s="1"/>
  <c r="BB95" i="2"/>
  <c r="K44" i="2"/>
  <c r="C30" i="2"/>
  <c r="C102" i="6" l="1"/>
  <c r="D102" i="6" s="1"/>
  <c r="B128" i="4"/>
  <c r="E121" i="4"/>
  <c r="V45" i="4"/>
  <c r="C123" i="4"/>
  <c r="AE26" i="4"/>
  <c r="B123" i="4"/>
  <c r="C102" i="4"/>
  <c r="AZ61" i="2"/>
  <c r="E30" i="2"/>
  <c r="T64" i="2"/>
  <c r="T61" i="2"/>
  <c r="T59" i="2"/>
  <c r="T49" i="2"/>
  <c r="T39" i="2"/>
  <c r="T3" i="2"/>
  <c r="K13" i="2"/>
  <c r="K12" i="2"/>
  <c r="J13" i="2"/>
  <c r="J12" i="2"/>
  <c r="I13" i="2"/>
  <c r="I12" i="2"/>
  <c r="H13" i="2"/>
  <c r="H12" i="2"/>
  <c r="G13" i="2"/>
  <c r="G12" i="2"/>
  <c r="F13" i="2"/>
  <c r="F12" i="2"/>
  <c r="D13" i="2"/>
  <c r="D12" i="2"/>
  <c r="Z13" i="2"/>
  <c r="Z12" i="2"/>
  <c r="AZ13" i="2"/>
  <c r="AZ12" i="2"/>
  <c r="AZ8" i="2"/>
  <c r="Z8" i="2"/>
  <c r="K8" i="2"/>
  <c r="J8" i="2"/>
  <c r="I8" i="2"/>
  <c r="H8" i="2"/>
  <c r="G8" i="2"/>
  <c r="F8" i="2"/>
  <c r="D8" i="2"/>
  <c r="L95" i="2"/>
  <c r="F90" i="2"/>
  <c r="N3" i="2"/>
  <c r="E123" i="4" l="1"/>
  <c r="B124" i="4" s="1"/>
  <c r="B132" i="4"/>
  <c r="E132" i="4" s="1"/>
  <c r="D102" i="4"/>
  <c r="C128" i="4"/>
  <c r="E128" i="4" s="1"/>
  <c r="C122" i="4"/>
  <c r="D122" i="4"/>
  <c r="B122" i="4"/>
  <c r="AN34" i="2"/>
  <c r="AJ34" i="2"/>
  <c r="X38" i="2"/>
  <c r="F30" i="2"/>
  <c r="E122" i="4" l="1"/>
  <c r="C124" i="4"/>
  <c r="D124" i="4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K116" i="2"/>
  <c r="J116" i="2"/>
  <c r="I116" i="2"/>
  <c r="H116" i="2"/>
  <c r="G116" i="2"/>
  <c r="F116" i="2"/>
  <c r="E116" i="2"/>
  <c r="D116" i="2"/>
  <c r="C116" i="2"/>
  <c r="AZ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K115" i="2"/>
  <c r="J115" i="2"/>
  <c r="I115" i="2"/>
  <c r="H115" i="2"/>
  <c r="G115" i="2"/>
  <c r="F115" i="2"/>
  <c r="E115" i="2"/>
  <c r="D115" i="2"/>
  <c r="C115" i="2"/>
  <c r="AZ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X114" i="2"/>
  <c r="W114" i="2"/>
  <c r="V114" i="2"/>
  <c r="U114" i="2"/>
  <c r="T114" i="2"/>
  <c r="S114" i="2"/>
  <c r="R114" i="2"/>
  <c r="Q114" i="2"/>
  <c r="P114" i="2"/>
  <c r="O114" i="2"/>
  <c r="N114" i="2"/>
  <c r="K114" i="2"/>
  <c r="J114" i="2"/>
  <c r="I114" i="2"/>
  <c r="H114" i="2"/>
  <c r="G114" i="2"/>
  <c r="F114" i="2"/>
  <c r="E114" i="2"/>
  <c r="D114" i="2"/>
  <c r="C114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K113" i="2"/>
  <c r="J113" i="2"/>
  <c r="I113" i="2"/>
  <c r="H113" i="2"/>
  <c r="G113" i="2"/>
  <c r="F113" i="2"/>
  <c r="E113" i="2"/>
  <c r="D113" i="2"/>
  <c r="C113" i="2"/>
  <c r="AZ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K112" i="2"/>
  <c r="J112" i="2"/>
  <c r="I112" i="2"/>
  <c r="H112" i="2"/>
  <c r="G112" i="2"/>
  <c r="F112" i="2"/>
  <c r="E112" i="2"/>
  <c r="D112" i="2"/>
  <c r="C112" i="2"/>
  <c r="AZ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K111" i="2"/>
  <c r="J111" i="2"/>
  <c r="I111" i="2"/>
  <c r="H111" i="2"/>
  <c r="G111" i="2"/>
  <c r="F111" i="2"/>
  <c r="E111" i="2"/>
  <c r="D111" i="2"/>
  <c r="C111" i="2"/>
  <c r="AW110" i="2"/>
  <c r="AU110" i="2"/>
  <c r="AT110" i="2"/>
  <c r="AS110" i="2"/>
  <c r="AR110" i="2"/>
  <c r="AQ110" i="2"/>
  <c r="AP110" i="2"/>
  <c r="AO110" i="2"/>
  <c r="AM110" i="2"/>
  <c r="AL110" i="2"/>
  <c r="AK110" i="2"/>
  <c r="AI110" i="2"/>
  <c r="AH110" i="2"/>
  <c r="AG110" i="2"/>
  <c r="AF110" i="2"/>
  <c r="AE110" i="2"/>
  <c r="AD110" i="2"/>
  <c r="AC110" i="2"/>
  <c r="AB110" i="2"/>
  <c r="AA110" i="2"/>
  <c r="Z110" i="2"/>
  <c r="Y110" i="2"/>
  <c r="W110" i="2"/>
  <c r="V110" i="2"/>
  <c r="U110" i="2"/>
  <c r="T110" i="2"/>
  <c r="S110" i="2"/>
  <c r="R110" i="2"/>
  <c r="Q110" i="2"/>
  <c r="P110" i="2"/>
  <c r="O110" i="2"/>
  <c r="N110" i="2"/>
  <c r="K110" i="2"/>
  <c r="J110" i="2"/>
  <c r="I110" i="2"/>
  <c r="H110" i="2"/>
  <c r="G110" i="2"/>
  <c r="F110" i="2"/>
  <c r="E110" i="2"/>
  <c r="D110" i="2"/>
  <c r="C110" i="2"/>
  <c r="AZ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X109" i="2"/>
  <c r="W109" i="2"/>
  <c r="V109" i="2"/>
  <c r="U109" i="2"/>
  <c r="T109" i="2"/>
  <c r="S109" i="2"/>
  <c r="R109" i="2"/>
  <c r="Q109" i="2"/>
  <c r="P109" i="2"/>
  <c r="O109" i="2"/>
  <c r="N109" i="2"/>
  <c r="K109" i="2"/>
  <c r="J109" i="2"/>
  <c r="I109" i="2"/>
  <c r="H109" i="2"/>
  <c r="F109" i="2"/>
  <c r="E109" i="2"/>
  <c r="D109" i="2"/>
  <c r="C109" i="2"/>
  <c r="AZ108" i="2"/>
  <c r="AV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K108" i="2"/>
  <c r="J108" i="2"/>
  <c r="I108" i="2"/>
  <c r="H108" i="2"/>
  <c r="G108" i="2"/>
  <c r="F108" i="2"/>
  <c r="E108" i="2"/>
  <c r="D108" i="2"/>
  <c r="C108" i="2"/>
  <c r="AZ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L107" i="2"/>
  <c r="K107" i="2"/>
  <c r="J107" i="2"/>
  <c r="I107" i="2"/>
  <c r="H107" i="2"/>
  <c r="G107" i="2"/>
  <c r="F107" i="2"/>
  <c r="E107" i="2"/>
  <c r="D107" i="2"/>
  <c r="C107" i="2"/>
  <c r="AZ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H102" i="2"/>
  <c r="AG102" i="2"/>
  <c r="AF102" i="2"/>
  <c r="AC102" i="2"/>
  <c r="AB102" i="2"/>
  <c r="AA102" i="2"/>
  <c r="Z102" i="2"/>
  <c r="Y102" i="2"/>
  <c r="X102" i="2"/>
  <c r="V102" i="2"/>
  <c r="U102" i="2"/>
  <c r="T102" i="2"/>
  <c r="S102" i="2"/>
  <c r="R102" i="2"/>
  <c r="Q102" i="2"/>
  <c r="P102" i="2"/>
  <c r="O102" i="2"/>
  <c r="N102" i="2"/>
  <c r="K102" i="2"/>
  <c r="J102" i="2"/>
  <c r="I102" i="2"/>
  <c r="H102" i="2"/>
  <c r="G102" i="2"/>
  <c r="F102" i="2"/>
  <c r="E102" i="2"/>
  <c r="D102" i="2"/>
  <c r="C102" i="2"/>
  <c r="BE101" i="2"/>
  <c r="BD101" i="2"/>
  <c r="AX101" i="2"/>
  <c r="L101" i="2"/>
  <c r="BB101" i="2" s="1"/>
  <c r="BE100" i="2"/>
  <c r="BD100" i="2"/>
  <c r="AX100" i="2"/>
  <c r="L100" i="2"/>
  <c r="BB100" i="2" s="1"/>
  <c r="BE99" i="2"/>
  <c r="BD99" i="2"/>
  <c r="BB99" i="2"/>
  <c r="AX99" i="2"/>
  <c r="L99" i="2"/>
  <c r="BE98" i="2"/>
  <c r="BD98" i="2"/>
  <c r="AX98" i="2"/>
  <c r="L98" i="2"/>
  <c r="BE97" i="2"/>
  <c r="BD97" i="2"/>
  <c r="BE96" i="2"/>
  <c r="BD96" i="2"/>
  <c r="AX96" i="2"/>
  <c r="BB96" i="2" s="1"/>
  <c r="L96" i="2"/>
  <c r="BE95" i="2"/>
  <c r="BD95" i="2"/>
  <c r="BE94" i="2"/>
  <c r="BD94" i="2"/>
  <c r="AX94" i="2"/>
  <c r="L94" i="2"/>
  <c r="BB94" i="2" s="1"/>
  <c r="BE93" i="2"/>
  <c r="BD93" i="2"/>
  <c r="AX93" i="2"/>
  <c r="BB93" i="2" s="1"/>
  <c r="L93" i="2"/>
  <c r="BE92" i="2"/>
  <c r="BD92" i="2"/>
  <c r="AX92" i="2"/>
  <c r="L92" i="2"/>
  <c r="BB92" i="2" s="1"/>
  <c r="BE91" i="2"/>
  <c r="BD91" i="2"/>
  <c r="AX91" i="2"/>
  <c r="L91" i="2"/>
  <c r="BB91" i="2" s="1"/>
  <c r="BE90" i="2"/>
  <c r="BE102" i="2" s="1"/>
  <c r="BD90" i="2"/>
  <c r="BD102" i="2" s="1"/>
  <c r="AX90" i="2"/>
  <c r="L90" i="2"/>
  <c r="BE89" i="2"/>
  <c r="BD89" i="2"/>
  <c r="AX89" i="2"/>
  <c r="L89" i="2"/>
  <c r="BB89" i="2" s="1"/>
  <c r="BE88" i="2"/>
  <c r="BD88" i="2"/>
  <c r="AX88" i="2"/>
  <c r="L88" i="2"/>
  <c r="BB88" i="2" s="1"/>
  <c r="BE87" i="2"/>
  <c r="BD87" i="2"/>
  <c r="AX87" i="2"/>
  <c r="BB87" i="2" s="1"/>
  <c r="L87" i="2"/>
  <c r="BE86" i="2"/>
  <c r="BD86" i="2"/>
  <c r="AX86" i="2"/>
  <c r="L86" i="2"/>
  <c r="BB86" i="2" s="1"/>
  <c r="BE85" i="2"/>
  <c r="BD85" i="2"/>
  <c r="BB85" i="2"/>
  <c r="AX85" i="2"/>
  <c r="L85" i="2"/>
  <c r="BM79" i="2"/>
  <c r="BL79" i="2"/>
  <c r="BL81" i="2" s="1"/>
  <c r="AW79" i="2"/>
  <c r="AU79" i="2"/>
  <c r="AT79" i="2"/>
  <c r="AS79" i="2"/>
  <c r="AR79" i="2"/>
  <c r="AR81" i="2" s="1"/>
  <c r="AR82" i="2" s="1"/>
  <c r="AR83" i="2" s="1"/>
  <c r="AQ79" i="2"/>
  <c r="AQ81" i="2" s="1"/>
  <c r="AQ82" i="2" s="1"/>
  <c r="AP79" i="2"/>
  <c r="AP81" i="2" s="1"/>
  <c r="AP82" i="2" s="1"/>
  <c r="AO79" i="2"/>
  <c r="AO81" i="2" s="1"/>
  <c r="AO82" i="2" s="1"/>
  <c r="AM79" i="2"/>
  <c r="AM81" i="2" s="1"/>
  <c r="AM82" i="2" s="1"/>
  <c r="AL79" i="2"/>
  <c r="AL81" i="2" s="1"/>
  <c r="AL82" i="2" s="1"/>
  <c r="AK79" i="2"/>
  <c r="AK81" i="2" s="1"/>
  <c r="AK82" i="2" s="1"/>
  <c r="AI79" i="2"/>
  <c r="AH79" i="2"/>
  <c r="AG79" i="2"/>
  <c r="AG81" i="2" s="1"/>
  <c r="AG82" i="2" s="1"/>
  <c r="AG83" i="2" s="1"/>
  <c r="AF79" i="2"/>
  <c r="AF81" i="2" s="1"/>
  <c r="AF82" i="2" s="1"/>
  <c r="AF83" i="2" s="1"/>
  <c r="AE79" i="2"/>
  <c r="AE81" i="2" s="1"/>
  <c r="AE82" i="2" s="1"/>
  <c r="AE83" i="2" s="1"/>
  <c r="AD79" i="2"/>
  <c r="AD81" i="2" s="1"/>
  <c r="AD82" i="2" s="1"/>
  <c r="AD83" i="2" s="1"/>
  <c r="AC79" i="2"/>
  <c r="AC81" i="2" s="1"/>
  <c r="AC82" i="2" s="1"/>
  <c r="AC83" i="2" s="1"/>
  <c r="AB79" i="2"/>
  <c r="AB81" i="2" s="1"/>
  <c r="AB82" i="2" s="1"/>
  <c r="AB83" i="2" s="1"/>
  <c r="AA79" i="2"/>
  <c r="AA81" i="2" s="1"/>
  <c r="AA82" i="2" s="1"/>
  <c r="AA83" i="2" s="1"/>
  <c r="Z79" i="2"/>
  <c r="W79" i="2"/>
  <c r="V79" i="2"/>
  <c r="U79" i="2"/>
  <c r="T79" i="2"/>
  <c r="T81" i="2" s="1"/>
  <c r="T82" i="2" s="1"/>
  <c r="S79" i="2"/>
  <c r="S81" i="2" s="1"/>
  <c r="S82" i="2" s="1"/>
  <c r="R79" i="2"/>
  <c r="R81" i="2" s="1"/>
  <c r="R82" i="2" s="1"/>
  <c r="Q79" i="2"/>
  <c r="Q81" i="2" s="1"/>
  <c r="Q82" i="2" s="1"/>
  <c r="P79" i="2"/>
  <c r="P81" i="2" s="1"/>
  <c r="P82" i="2" s="1"/>
  <c r="O79" i="2"/>
  <c r="O81" i="2" s="1"/>
  <c r="O82" i="2" s="1"/>
  <c r="N79" i="2"/>
  <c r="N81" i="2" s="1"/>
  <c r="N82" i="2" s="1"/>
  <c r="K79" i="2"/>
  <c r="J79" i="2"/>
  <c r="J81" i="2" s="1"/>
  <c r="J82" i="2" s="1"/>
  <c r="I79" i="2"/>
  <c r="H79" i="2"/>
  <c r="H81" i="2" s="1"/>
  <c r="H82" i="2" s="1"/>
  <c r="E79" i="2"/>
  <c r="E81" i="2" s="1"/>
  <c r="E82" i="2" s="1"/>
  <c r="D79" i="2"/>
  <c r="C79" i="2"/>
  <c r="C81" i="2" s="1"/>
  <c r="C82" i="2" s="1"/>
  <c r="BN78" i="2"/>
  <c r="BE78" i="2"/>
  <c r="BD78" i="2"/>
  <c r="AX78" i="2"/>
  <c r="L78" i="2"/>
  <c r="BN77" i="2"/>
  <c r="BE77" i="2"/>
  <c r="BD77" i="2"/>
  <c r="AX77" i="2"/>
  <c r="L77" i="2"/>
  <c r="BN76" i="2"/>
  <c r="BE76" i="2"/>
  <c r="BD76" i="2"/>
  <c r="AX76" i="2"/>
  <c r="L76" i="2"/>
  <c r="BN75" i="2"/>
  <c r="BE75" i="2"/>
  <c r="BD75" i="2"/>
  <c r="AX75" i="2"/>
  <c r="L75" i="2"/>
  <c r="BN74" i="2"/>
  <c r="BE74" i="2"/>
  <c r="BD74" i="2"/>
  <c r="AX74" i="2"/>
  <c r="L74" i="2"/>
  <c r="BN73" i="2"/>
  <c r="BE73" i="2"/>
  <c r="BD73" i="2"/>
  <c r="AX73" i="2"/>
  <c r="L73" i="2"/>
  <c r="BN72" i="2"/>
  <c r="BE72" i="2"/>
  <c r="BD72" i="2"/>
  <c r="AX72" i="2"/>
  <c r="L72" i="2"/>
  <c r="BN71" i="2"/>
  <c r="BE71" i="2"/>
  <c r="BD71" i="2"/>
  <c r="AX71" i="2"/>
  <c r="L71" i="2"/>
  <c r="BN70" i="2"/>
  <c r="BE70" i="2"/>
  <c r="BD70" i="2"/>
  <c r="AX70" i="2"/>
  <c r="AX115" i="2" s="1"/>
  <c r="L70" i="2"/>
  <c r="BN69" i="2"/>
  <c r="BE69" i="2"/>
  <c r="BD69" i="2"/>
  <c r="AX69" i="2"/>
  <c r="L69" i="2"/>
  <c r="BN68" i="2"/>
  <c r="BE68" i="2"/>
  <c r="BD68" i="2"/>
  <c r="AX68" i="2"/>
  <c r="L68" i="2"/>
  <c r="BN67" i="2"/>
  <c r="BE67" i="2"/>
  <c r="BD67" i="2"/>
  <c r="AX67" i="2"/>
  <c r="L67" i="2"/>
  <c r="BN66" i="2"/>
  <c r="BE66" i="2"/>
  <c r="BD66" i="2"/>
  <c r="AX66" i="2"/>
  <c r="Y66" i="2"/>
  <c r="Y114" i="2" s="1"/>
  <c r="L66" i="2"/>
  <c r="BN65" i="2"/>
  <c r="BE65" i="2"/>
  <c r="BD65" i="2"/>
  <c r="AX65" i="2"/>
  <c r="L65" i="2"/>
  <c r="BN64" i="2"/>
  <c r="BE64" i="2"/>
  <c r="BD64" i="2"/>
  <c r="AX64" i="2"/>
  <c r="L64" i="2"/>
  <c r="BN63" i="2"/>
  <c r="BE63" i="2"/>
  <c r="BD63" i="2"/>
  <c r="AX63" i="2"/>
  <c r="L63" i="2"/>
  <c r="BN62" i="2"/>
  <c r="BE62" i="2"/>
  <c r="BD62" i="2"/>
  <c r="AX62" i="2"/>
  <c r="L62" i="2"/>
  <c r="BN61" i="2"/>
  <c r="BE61" i="2"/>
  <c r="BD61" i="2"/>
  <c r="AZ113" i="2"/>
  <c r="AX61" i="2"/>
  <c r="AX113" i="2" s="1"/>
  <c r="L61" i="2"/>
  <c r="BN60" i="2"/>
  <c r="BE60" i="2"/>
  <c r="BD60" i="2"/>
  <c r="AX60" i="2"/>
  <c r="L60" i="2"/>
  <c r="BB60" i="2" s="1"/>
  <c r="BN59" i="2"/>
  <c r="BE59" i="2"/>
  <c r="BD59" i="2"/>
  <c r="AX59" i="2"/>
  <c r="L59" i="2"/>
  <c r="BN58" i="2"/>
  <c r="BE58" i="2"/>
  <c r="BD58" i="2"/>
  <c r="AX58" i="2"/>
  <c r="L58" i="2"/>
  <c r="BN57" i="2"/>
  <c r="BE57" i="2"/>
  <c r="BD57" i="2"/>
  <c r="AX57" i="2"/>
  <c r="L57" i="2"/>
  <c r="BN56" i="2"/>
  <c r="BE56" i="2"/>
  <c r="BD56" i="2"/>
  <c r="AX56" i="2"/>
  <c r="L56" i="2"/>
  <c r="BN55" i="2"/>
  <c r="BE55" i="2"/>
  <c r="BD55" i="2"/>
  <c r="AX55" i="2"/>
  <c r="L55" i="2"/>
  <c r="BN54" i="2"/>
  <c r="BE54" i="2"/>
  <c r="BD54" i="2"/>
  <c r="AX54" i="2"/>
  <c r="L54" i="2"/>
  <c r="BN53" i="2"/>
  <c r="BE53" i="2"/>
  <c r="BD53" i="2"/>
  <c r="AX53" i="2"/>
  <c r="L53" i="2"/>
  <c r="BB53" i="2" s="1"/>
  <c r="BN52" i="2"/>
  <c r="BI52" i="2"/>
  <c r="BE52" i="2"/>
  <c r="BD52" i="2"/>
  <c r="AX52" i="2"/>
  <c r="L52" i="2"/>
  <c r="BB52" i="2" s="1"/>
  <c r="BN51" i="2"/>
  <c r="BE51" i="2"/>
  <c r="BD51" i="2"/>
  <c r="AX51" i="2"/>
  <c r="L51" i="2"/>
  <c r="BN50" i="2"/>
  <c r="BE50" i="2"/>
  <c r="BD50" i="2"/>
  <c r="AX50" i="2"/>
  <c r="L50" i="2"/>
  <c r="BB50" i="2" s="1"/>
  <c r="BN49" i="2"/>
  <c r="BE49" i="2"/>
  <c r="BD49" i="2"/>
  <c r="AX49" i="2"/>
  <c r="L49" i="2"/>
  <c r="BN48" i="2"/>
  <c r="BE48" i="2"/>
  <c r="BD48" i="2"/>
  <c r="AX48" i="2"/>
  <c r="BB48" i="2" s="1"/>
  <c r="L48" i="2"/>
  <c r="BN47" i="2"/>
  <c r="BE47" i="2"/>
  <c r="BD47" i="2"/>
  <c r="AX47" i="2"/>
  <c r="L47" i="2"/>
  <c r="BB47" i="2" s="1"/>
  <c r="BN46" i="2"/>
  <c r="BE46" i="2"/>
  <c r="BD46" i="2"/>
  <c r="AX46" i="2"/>
  <c r="L46" i="2"/>
  <c r="BB46" i="2" s="1"/>
  <c r="BN45" i="2"/>
  <c r="BE45" i="2"/>
  <c r="AX45" i="2"/>
  <c r="Y45" i="2"/>
  <c r="X45" i="2"/>
  <c r="BD45" i="2" s="1"/>
  <c r="L45" i="2"/>
  <c r="BN44" i="2"/>
  <c r="BE44" i="2"/>
  <c r="AN44" i="2"/>
  <c r="BD44" i="2" s="1"/>
  <c r="AJ44" i="2"/>
  <c r="AJ110" i="2" s="1"/>
  <c r="L44" i="2"/>
  <c r="BN43" i="2"/>
  <c r="BE43" i="2"/>
  <c r="BD43" i="2"/>
  <c r="AX43" i="2"/>
  <c r="L43" i="2"/>
  <c r="BN42" i="2"/>
  <c r="BE42" i="2"/>
  <c r="BD42" i="2"/>
  <c r="AX42" i="2"/>
  <c r="X42" i="2"/>
  <c r="L42" i="2"/>
  <c r="BN41" i="2"/>
  <c r="BE41" i="2"/>
  <c r="BD41" i="2"/>
  <c r="AX41" i="2"/>
  <c r="L41" i="2"/>
  <c r="BN40" i="2"/>
  <c r="BE40" i="2"/>
  <c r="AV40" i="2"/>
  <c r="BD40" i="2" s="1"/>
  <c r="X40" i="2"/>
  <c r="AX40" i="2" s="1"/>
  <c r="L40" i="2"/>
  <c r="BB40" i="2" s="1"/>
  <c r="BN39" i="2"/>
  <c r="BE39" i="2"/>
  <c r="BD39" i="2"/>
  <c r="AZ39" i="2"/>
  <c r="AZ110" i="2" s="1"/>
  <c r="AX39" i="2"/>
  <c r="L39" i="2"/>
  <c r="BN38" i="2"/>
  <c r="BE38" i="2"/>
  <c r="BD38" i="2"/>
  <c r="AX38" i="2"/>
  <c r="X79" i="2"/>
  <c r="X81" i="2" s="1"/>
  <c r="X82" i="2" s="1"/>
  <c r="X83" i="2" s="1"/>
  <c r="L38" i="2"/>
  <c r="BN37" i="2"/>
  <c r="BE37" i="2"/>
  <c r="BD37" i="2"/>
  <c r="AX37" i="2"/>
  <c r="BB37" i="2" s="1"/>
  <c r="L37" i="2"/>
  <c r="BN36" i="2"/>
  <c r="BE36" i="2"/>
  <c r="BD36" i="2"/>
  <c r="AX36" i="2"/>
  <c r="L36" i="2"/>
  <c r="BB36" i="2" s="1"/>
  <c r="BN35" i="2"/>
  <c r="BE35" i="2"/>
  <c r="BD35" i="2"/>
  <c r="AX35" i="2"/>
  <c r="Y35" i="2"/>
  <c r="Y109" i="2" s="1"/>
  <c r="L35" i="2"/>
  <c r="BN34" i="2"/>
  <c r="BE34" i="2"/>
  <c r="BD34" i="2"/>
  <c r="AX34" i="2"/>
  <c r="L34" i="2"/>
  <c r="BN33" i="2"/>
  <c r="BE33" i="2"/>
  <c r="BD33" i="2"/>
  <c r="AX33" i="2"/>
  <c r="L33" i="2"/>
  <c r="BB33" i="2" s="1"/>
  <c r="BN32" i="2"/>
  <c r="BE32" i="2"/>
  <c r="BD32" i="2"/>
  <c r="AX32" i="2"/>
  <c r="L32" i="2"/>
  <c r="BN31" i="2"/>
  <c r="BE31" i="2"/>
  <c r="BD31" i="2"/>
  <c r="BB31" i="2"/>
  <c r="AX31" i="2"/>
  <c r="L31" i="2"/>
  <c r="BN30" i="2"/>
  <c r="BE30" i="2"/>
  <c r="BD30" i="2"/>
  <c r="AX30" i="2"/>
  <c r="L30" i="2"/>
  <c r="G30" i="2"/>
  <c r="G79" i="2" s="1"/>
  <c r="F79" i="2"/>
  <c r="BN29" i="2"/>
  <c r="BE29" i="2"/>
  <c r="BD29" i="2"/>
  <c r="AX29" i="2"/>
  <c r="L29" i="2"/>
  <c r="BN28" i="2"/>
  <c r="BE28" i="2"/>
  <c r="BD28" i="2"/>
  <c r="AX28" i="2"/>
  <c r="BB28" i="2" s="1"/>
  <c r="L28" i="2"/>
  <c r="BN27" i="2"/>
  <c r="BE27" i="2"/>
  <c r="BD27" i="2"/>
  <c r="AX27" i="2"/>
  <c r="L27" i="2"/>
  <c r="BN26" i="2"/>
  <c r="BE26" i="2"/>
  <c r="BD26" i="2"/>
  <c r="AX26" i="2"/>
  <c r="L26" i="2"/>
  <c r="BN25" i="2"/>
  <c r="BE25" i="2"/>
  <c r="BD25" i="2"/>
  <c r="AX25" i="2"/>
  <c r="L25" i="2"/>
  <c r="BN24" i="2"/>
  <c r="BE24" i="2"/>
  <c r="BD24" i="2"/>
  <c r="AX24" i="2"/>
  <c r="L24" i="2"/>
  <c r="BL22" i="2"/>
  <c r="AZ22" i="2"/>
  <c r="AV22" i="2"/>
  <c r="AT22" i="2"/>
  <c r="AT81" i="2" s="1"/>
  <c r="AT82" i="2" s="1"/>
  <c r="AT83" i="2" s="1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V81" i="2" s="1"/>
  <c r="V82" i="2" s="1"/>
  <c r="U22" i="2"/>
  <c r="T22" i="2"/>
  <c r="S22" i="2"/>
  <c r="R22" i="2"/>
  <c r="Q22" i="2"/>
  <c r="P22" i="2"/>
  <c r="O22" i="2"/>
  <c r="N22" i="2"/>
  <c r="K22" i="2"/>
  <c r="K81" i="2" s="1"/>
  <c r="K82" i="2" s="1"/>
  <c r="J22" i="2"/>
  <c r="I22" i="2"/>
  <c r="H22" i="2"/>
  <c r="G22" i="2"/>
  <c r="F22" i="2"/>
  <c r="E22" i="2"/>
  <c r="D22" i="2"/>
  <c r="C22" i="2"/>
  <c r="BE21" i="2"/>
  <c r="BD21" i="2"/>
  <c r="AX21" i="2"/>
  <c r="BM21" i="2" s="1"/>
  <c r="BN21" i="2" s="1"/>
  <c r="L21" i="2"/>
  <c r="BE20" i="2"/>
  <c r="BD20" i="2"/>
  <c r="AX20" i="2"/>
  <c r="BM20" i="2" s="1"/>
  <c r="BN20" i="2" s="1"/>
  <c r="L20" i="2"/>
  <c r="BB20" i="2" s="1"/>
  <c r="BM19" i="2"/>
  <c r="BN19" i="2" s="1"/>
  <c r="BE19" i="2"/>
  <c r="BD19" i="2"/>
  <c r="AX19" i="2"/>
  <c r="BB19" i="2" s="1"/>
  <c r="L19" i="2"/>
  <c r="BE18" i="2"/>
  <c r="BD18" i="2"/>
  <c r="AX18" i="2"/>
  <c r="BM18" i="2" s="1"/>
  <c r="BN18" i="2" s="1"/>
  <c r="L18" i="2"/>
  <c r="BE17" i="2"/>
  <c r="BD17" i="2"/>
  <c r="AX17" i="2"/>
  <c r="BM17" i="2" s="1"/>
  <c r="BN17" i="2" s="1"/>
  <c r="L17" i="2"/>
  <c r="BM16" i="2"/>
  <c r="BN16" i="2" s="1"/>
  <c r="BE16" i="2"/>
  <c r="BD16" i="2"/>
  <c r="BB16" i="2"/>
  <c r="AX16" i="2"/>
  <c r="AW16" i="2"/>
  <c r="L16" i="2"/>
  <c r="BD15" i="2"/>
  <c r="AX15" i="2"/>
  <c r="BM15" i="2" s="1"/>
  <c r="BN15" i="2" s="1"/>
  <c r="AW15" i="2"/>
  <c r="BE15" i="2" s="1"/>
  <c r="L15" i="2"/>
  <c r="BE14" i="2"/>
  <c r="BD14" i="2"/>
  <c r="AX14" i="2"/>
  <c r="BM14" i="2" s="1"/>
  <c r="BN14" i="2" s="1"/>
  <c r="L14" i="2"/>
  <c r="BE13" i="2"/>
  <c r="BD13" i="2"/>
  <c r="AX13" i="2"/>
  <c r="BM13" i="2" s="1"/>
  <c r="L13" i="2"/>
  <c r="BD12" i="2"/>
  <c r="BE12" i="2"/>
  <c r="AX12" i="2"/>
  <c r="BM12" i="2" s="1"/>
  <c r="L12" i="2"/>
  <c r="BE11" i="2"/>
  <c r="BD11" i="2"/>
  <c r="AX11" i="2"/>
  <c r="BM11" i="2" s="1"/>
  <c r="BN11" i="2" s="1"/>
  <c r="L11" i="2"/>
  <c r="BB11" i="2" s="1"/>
  <c r="BE10" i="2"/>
  <c r="BD10" i="2"/>
  <c r="BB10" i="2"/>
  <c r="AX10" i="2"/>
  <c r="BM10" i="2" s="1"/>
  <c r="BN10" i="2" s="1"/>
  <c r="L10" i="2"/>
  <c r="BD9" i="2"/>
  <c r="AU9" i="2"/>
  <c r="BE9" i="2" s="1"/>
  <c r="L9" i="2"/>
  <c r="BD8" i="2"/>
  <c r="AW108" i="2"/>
  <c r="AU22" i="2"/>
  <c r="AU81" i="2" s="1"/>
  <c r="AU82" i="2" s="1"/>
  <c r="AU83" i="2" s="1"/>
  <c r="L8" i="2"/>
  <c r="AZ5" i="2"/>
  <c r="AV5" i="2"/>
  <c r="AT5" i="2"/>
  <c r="AR5" i="2"/>
  <c r="AP5" i="2"/>
  <c r="AN5" i="2"/>
  <c r="AL5" i="2"/>
  <c r="AJ5" i="2"/>
  <c r="AH5" i="2"/>
  <c r="AG5" i="2"/>
  <c r="AF5" i="2"/>
  <c r="AD5" i="2"/>
  <c r="AB5" i="2"/>
  <c r="AA5" i="2"/>
  <c r="Z5" i="2"/>
  <c r="X5" i="2"/>
  <c r="W5" i="2"/>
  <c r="V5" i="2"/>
  <c r="T5" i="2"/>
  <c r="R5" i="2"/>
  <c r="P5" i="2"/>
  <c r="K5" i="2"/>
  <c r="J5" i="2"/>
  <c r="I5" i="2"/>
  <c r="H5" i="2"/>
  <c r="G5" i="2"/>
  <c r="F5" i="2"/>
  <c r="E5" i="2"/>
  <c r="D5" i="2"/>
  <c r="BC5" i="2" s="1"/>
  <c r="C5" i="2"/>
  <c r="BE3" i="2"/>
  <c r="BD3" i="2"/>
  <c r="BD5" i="2" s="1"/>
  <c r="AX3" i="2"/>
  <c r="N5" i="2"/>
  <c r="L3" i="2"/>
  <c r="BE2" i="2"/>
  <c r="BE5" i="2" s="1"/>
  <c r="BD2" i="2"/>
  <c r="AX2" i="2"/>
  <c r="BB2" i="2" s="1"/>
  <c r="L2" i="2"/>
  <c r="E124" i="4" l="1"/>
  <c r="L102" i="2"/>
  <c r="BB35" i="2"/>
  <c r="BB65" i="2"/>
  <c r="BB73" i="2"/>
  <c r="BB78" i="2"/>
  <c r="BB71" i="2"/>
  <c r="AS81" i="2"/>
  <c r="AS82" i="2" s="1"/>
  <c r="AS83" i="2" s="1"/>
  <c r="BB21" i="2"/>
  <c r="BB18" i="2"/>
  <c r="BB17" i="2"/>
  <c r="BB15" i="2"/>
  <c r="BB14" i="2"/>
  <c r="U81" i="2"/>
  <c r="U82" i="2" s="1"/>
  <c r="BB25" i="2"/>
  <c r="BB63" i="2"/>
  <c r="BB43" i="2"/>
  <c r="BB59" i="2"/>
  <c r="P117" i="2"/>
  <c r="AH81" i="2"/>
  <c r="AH82" i="2" s="1"/>
  <c r="BB30" i="2"/>
  <c r="AC117" i="2"/>
  <c r="AO117" i="2"/>
  <c r="BB39" i="2"/>
  <c r="BB26" i="2"/>
  <c r="BB24" i="2"/>
  <c r="AA117" i="2"/>
  <c r="AM117" i="2"/>
  <c r="AR117" i="2"/>
  <c r="BB42" i="2"/>
  <c r="BB51" i="2"/>
  <c r="BB58" i="2"/>
  <c r="BB67" i="2"/>
  <c r="BB76" i="2"/>
  <c r="Q117" i="2"/>
  <c r="BH115" i="2"/>
  <c r="BB69" i="2"/>
  <c r="D117" i="2"/>
  <c r="AP117" i="2"/>
  <c r="BI111" i="2"/>
  <c r="BD113" i="2"/>
  <c r="AD117" i="2"/>
  <c r="W81" i="2"/>
  <c r="AI81" i="2"/>
  <c r="AI82" i="2" s="1"/>
  <c r="BB38" i="2"/>
  <c r="BB45" i="2"/>
  <c r="AX111" i="2"/>
  <c r="BB74" i="2"/>
  <c r="S117" i="2"/>
  <c r="AE117" i="2"/>
  <c r="AQ117" i="2"/>
  <c r="BI110" i="2"/>
  <c r="AB117" i="2"/>
  <c r="BD112" i="2"/>
  <c r="R117" i="2"/>
  <c r="I81" i="2"/>
  <c r="I82" i="2" s="1"/>
  <c r="BB32" i="2"/>
  <c r="BB56" i="2"/>
  <c r="BB72" i="2"/>
  <c r="BD111" i="2"/>
  <c r="BO112" i="2"/>
  <c r="AG117" i="2"/>
  <c r="BB41" i="2"/>
  <c r="BB54" i="2"/>
  <c r="BE113" i="2"/>
  <c r="BB70" i="2"/>
  <c r="BB77" i="2"/>
  <c r="H117" i="2"/>
  <c r="V117" i="2"/>
  <c r="AH117" i="2"/>
  <c r="AT117" i="2"/>
  <c r="BO111" i="2"/>
  <c r="BI112" i="2"/>
  <c r="BH114" i="2"/>
  <c r="BM116" i="2"/>
  <c r="U117" i="2"/>
  <c r="I117" i="2"/>
  <c r="W117" i="2"/>
  <c r="AI117" i="2"/>
  <c r="AF117" i="2"/>
  <c r="BO116" i="2"/>
  <c r="BB68" i="2"/>
  <c r="BB75" i="2"/>
  <c r="J117" i="2"/>
  <c r="BI113" i="2"/>
  <c r="BM115" i="2"/>
  <c r="BP115" i="2" s="1"/>
  <c r="AX116" i="2"/>
  <c r="BE116" i="2" s="1"/>
  <c r="AS117" i="2"/>
  <c r="BN79" i="2"/>
  <c r="BB57" i="2"/>
  <c r="BB66" i="2"/>
  <c r="AK117" i="2"/>
  <c r="BD110" i="2"/>
  <c r="BH111" i="2"/>
  <c r="BM114" i="2"/>
  <c r="L115" i="2"/>
  <c r="BK115" i="2" s="1"/>
  <c r="BD115" i="2"/>
  <c r="BE79" i="2"/>
  <c r="BB29" i="2"/>
  <c r="N117" i="2"/>
  <c r="Z117" i="2"/>
  <c r="AL117" i="2"/>
  <c r="BH116" i="2"/>
  <c r="BJ116" i="2" s="1"/>
  <c r="BB27" i="2"/>
  <c r="BB55" i="2"/>
  <c r="BB62" i="2"/>
  <c r="L116" i="2"/>
  <c r="BP116" i="2" s="1"/>
  <c r="BI115" i="2"/>
  <c r="BI116" i="2"/>
  <c r="K117" i="2"/>
  <c r="C117" i="2"/>
  <c r="AZ117" i="2"/>
  <c r="AX114" i="2"/>
  <c r="BB64" i="2"/>
  <c r="BM113" i="2"/>
  <c r="BB61" i="2"/>
  <c r="BH113" i="2"/>
  <c r="AX112" i="2"/>
  <c r="BM112" i="2"/>
  <c r="T117" i="2"/>
  <c r="BH112" i="2"/>
  <c r="BB49" i="2"/>
  <c r="BM111" i="2"/>
  <c r="L108" i="2"/>
  <c r="BB13" i="2"/>
  <c r="BD22" i="2"/>
  <c r="Z81" i="2"/>
  <c r="Z82" i="2" s="1"/>
  <c r="Z83" i="2" s="1"/>
  <c r="G81" i="2"/>
  <c r="G82" i="2" s="1"/>
  <c r="F81" i="2"/>
  <c r="F82" i="2" s="1"/>
  <c r="D81" i="2"/>
  <c r="D82" i="2" s="1"/>
  <c r="BB90" i="2"/>
  <c r="BB102" i="2" s="1"/>
  <c r="E117" i="2"/>
  <c r="BB3" i="2"/>
  <c r="BB5" i="2"/>
  <c r="BH109" i="2"/>
  <c r="BB34" i="2"/>
  <c r="AX109" i="2"/>
  <c r="BM109" i="2"/>
  <c r="F117" i="2"/>
  <c r="L109" i="2"/>
  <c r="BD114" i="2"/>
  <c r="BO109" i="2"/>
  <c r="BI114" i="2"/>
  <c r="AW117" i="2"/>
  <c r="BB12" i="2"/>
  <c r="BE115" i="2"/>
  <c r="BG115" i="2" s="1"/>
  <c r="BI109" i="2"/>
  <c r="BJ109" i="2" s="1"/>
  <c r="BD79" i="2"/>
  <c r="BD81" i="2" s="1"/>
  <c r="BD82" i="2" s="1"/>
  <c r="AJ117" i="2"/>
  <c r="Y117" i="2"/>
  <c r="BO114" i="2"/>
  <c r="BD109" i="2"/>
  <c r="BO115" i="2"/>
  <c r="AX5" i="2"/>
  <c r="BE8" i="2"/>
  <c r="BE22" i="2" s="1"/>
  <c r="L22" i="2"/>
  <c r="AW22" i="2"/>
  <c r="AW81" i="2" s="1"/>
  <c r="AW82" i="2" s="1"/>
  <c r="G109" i="2"/>
  <c r="G117" i="2" s="1"/>
  <c r="L114" i="2"/>
  <c r="BH108" i="2"/>
  <c r="L113" i="2"/>
  <c r="BO113" i="2"/>
  <c r="L5" i="2"/>
  <c r="AJ79" i="2"/>
  <c r="AJ81" i="2" s="1"/>
  <c r="AJ82" i="2" s="1"/>
  <c r="AV79" i="2"/>
  <c r="AV81" i="2" s="1"/>
  <c r="AV82" i="2" s="1"/>
  <c r="AX102" i="2"/>
  <c r="L112" i="2"/>
  <c r="BP112" i="2" s="1"/>
  <c r="BB115" i="2"/>
  <c r="BD116" i="2"/>
  <c r="O117" i="2"/>
  <c r="L79" i="2"/>
  <c r="Y79" i="2"/>
  <c r="Y81" i="2" s="1"/>
  <c r="Y82" i="2" s="1"/>
  <c r="Y83" i="2" s="1"/>
  <c r="X110" i="2"/>
  <c r="X117" i="2" s="1"/>
  <c r="AV110" i="2"/>
  <c r="L111" i="2"/>
  <c r="AU108" i="2"/>
  <c r="AU117" i="2" s="1"/>
  <c r="AZ79" i="2"/>
  <c r="AZ81" i="2" s="1"/>
  <c r="BM108" i="2"/>
  <c r="BO110" i="2"/>
  <c r="AX9" i="2"/>
  <c r="AN79" i="2"/>
  <c r="AN81" i="2" s="1"/>
  <c r="AN82" i="2" s="1"/>
  <c r="L110" i="2"/>
  <c r="AN110" i="2"/>
  <c r="AN117" i="2" s="1"/>
  <c r="AX44" i="2"/>
  <c r="BB44" i="2" s="1"/>
  <c r="AX8" i="2"/>
  <c r="AX83" i="1"/>
  <c r="AU83" i="1"/>
  <c r="AT83" i="1"/>
  <c r="AS83" i="1"/>
  <c r="AR83" i="1"/>
  <c r="Y83" i="1"/>
  <c r="Z83" i="1"/>
  <c r="AA83" i="1"/>
  <c r="AB83" i="1"/>
  <c r="AC83" i="1"/>
  <c r="AD83" i="1"/>
  <c r="AE83" i="1"/>
  <c r="AF83" i="1"/>
  <c r="AG83" i="1"/>
  <c r="X83" i="1"/>
  <c r="BP113" i="2" l="1"/>
  <c r="BG116" i="2"/>
  <c r="BI108" i="2"/>
  <c r="BI117" i="2" s="1"/>
  <c r="BO108" i="2"/>
  <c r="BO117" i="2" s="1"/>
  <c r="BJ112" i="2"/>
  <c r="BE81" i="2"/>
  <c r="BE82" i="2" s="1"/>
  <c r="BJ114" i="2"/>
  <c r="BB116" i="2"/>
  <c r="BE112" i="2"/>
  <c r="BJ113" i="2"/>
  <c r="BE109" i="2"/>
  <c r="BM110" i="2"/>
  <c r="BP110" i="2" s="1"/>
  <c r="BH110" i="2"/>
  <c r="BJ110" i="2" s="1"/>
  <c r="BE114" i="2"/>
  <c r="BG114" i="2" s="1"/>
  <c r="BK116" i="2"/>
  <c r="BJ115" i="2"/>
  <c r="BE111" i="2"/>
  <c r="BG111" i="2" s="1"/>
  <c r="BJ111" i="2"/>
  <c r="BP109" i="2"/>
  <c r="BP111" i="2"/>
  <c r="AX83" i="2"/>
  <c r="L81" i="2"/>
  <c r="L83" i="2" s="1"/>
  <c r="BB109" i="2"/>
  <c r="BB79" i="2"/>
  <c r="BK109" i="2"/>
  <c r="BG109" i="2"/>
  <c r="BD117" i="2"/>
  <c r="BD108" i="2"/>
  <c r="AX79" i="2"/>
  <c r="BK114" i="2"/>
  <c r="BB114" i="2"/>
  <c r="BP108" i="2"/>
  <c r="AX110" i="2"/>
  <c r="BE110" i="2" s="1"/>
  <c r="BG110" i="2" s="1"/>
  <c r="BK108" i="2"/>
  <c r="BB111" i="2"/>
  <c r="BK111" i="2"/>
  <c r="BB8" i="2"/>
  <c r="AX108" i="2"/>
  <c r="AX22" i="2"/>
  <c r="BM8" i="2"/>
  <c r="BG113" i="2"/>
  <c r="BB113" i="2"/>
  <c r="BK113" i="2"/>
  <c r="BG112" i="2"/>
  <c r="BB112" i="2"/>
  <c r="BK112" i="2"/>
  <c r="AZ82" i="2"/>
  <c r="AZ83" i="2"/>
  <c r="BM9" i="2"/>
  <c r="BN9" i="2" s="1"/>
  <c r="BB9" i="2"/>
  <c r="AV117" i="2"/>
  <c r="BP114" i="2"/>
  <c r="L117" i="2"/>
  <c r="N3" i="1"/>
  <c r="BJ108" i="2" l="1"/>
  <c r="BJ117" i="2" s="1"/>
  <c r="BK110" i="2"/>
  <c r="BH117" i="2"/>
  <c r="BK117" i="2" s="1"/>
  <c r="BM117" i="2"/>
  <c r="BP117" i="2"/>
  <c r="AX81" i="2"/>
  <c r="AX82" i="2" s="1"/>
  <c r="L82" i="2"/>
  <c r="BM22" i="2"/>
  <c r="BM81" i="2" s="1"/>
  <c r="BN8" i="2"/>
  <c r="AX117" i="2"/>
  <c r="BE108" i="2"/>
  <c r="BB108" i="2"/>
  <c r="BB110" i="2"/>
  <c r="BB22" i="2"/>
  <c r="BB81" i="2" s="1"/>
  <c r="BL22" i="1"/>
  <c r="BL81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24" i="1"/>
  <c r="BN10" i="1"/>
  <c r="BN16" i="1"/>
  <c r="BN19" i="1"/>
  <c r="BN20" i="1"/>
  <c r="BM79" i="1"/>
  <c r="BL79" i="1"/>
  <c r="BM10" i="1"/>
  <c r="BM13" i="1"/>
  <c r="BM16" i="1"/>
  <c r="BM19" i="1"/>
  <c r="BM20" i="1"/>
  <c r="BB117" i="2" l="1"/>
  <c r="BN12" i="2"/>
  <c r="BN22" i="2" s="1"/>
  <c r="BN81" i="2" s="1"/>
  <c r="BB82" i="2"/>
  <c r="BB105" i="2" s="1"/>
  <c r="BB83" i="2"/>
  <c r="BB104" i="2"/>
  <c r="BE117" i="2"/>
  <c r="BG108" i="2"/>
  <c r="BG117" i="2" s="1"/>
  <c r="BN79" i="1"/>
  <c r="BO110" i="1" l="1"/>
  <c r="BO111" i="1"/>
  <c r="BO112" i="1"/>
  <c r="BO113" i="1"/>
  <c r="BO114" i="1"/>
  <c r="BO115" i="1"/>
  <c r="BO116" i="1"/>
  <c r="BM111" i="1"/>
  <c r="BM112" i="1"/>
  <c r="BM113" i="1"/>
  <c r="BM114" i="1"/>
  <c r="BM115" i="1"/>
  <c r="BM116" i="1"/>
  <c r="AZ39" i="1"/>
  <c r="AZ61" i="1"/>
  <c r="BI52" i="1" l="1"/>
  <c r="AN44" i="1" l="1"/>
  <c r="AJ44" i="1"/>
  <c r="AW16" i="1" l="1"/>
  <c r="AW15" i="1"/>
  <c r="AW12" i="1"/>
  <c r="AW9" i="1"/>
  <c r="AW8" i="1"/>
  <c r="AU12" i="1"/>
  <c r="AU9" i="1"/>
  <c r="AU8" i="1"/>
  <c r="W107" i="1"/>
  <c r="W108" i="1"/>
  <c r="W109" i="1"/>
  <c r="W110" i="1"/>
  <c r="W111" i="1"/>
  <c r="W112" i="1"/>
  <c r="W113" i="1"/>
  <c r="W114" i="1"/>
  <c r="W115" i="1"/>
  <c r="W116" i="1"/>
  <c r="W79" i="1"/>
  <c r="W81" i="1" s="1"/>
  <c r="W22" i="1"/>
  <c r="W5" i="1"/>
  <c r="Y66" i="1"/>
  <c r="Y45" i="1"/>
  <c r="Y35" i="1"/>
  <c r="AV40" i="1"/>
  <c r="X45" i="1"/>
  <c r="X42" i="1"/>
  <c r="X40" i="1"/>
  <c r="X38" i="1"/>
  <c r="X79" i="1" s="1"/>
  <c r="W117" i="1" l="1"/>
  <c r="F30" i="1"/>
  <c r="F102" i="1" l="1"/>
  <c r="AW102" i="1"/>
  <c r="AU102" i="1"/>
  <c r="AS102" i="1"/>
  <c r="AQ102" i="1"/>
  <c r="AO102" i="1"/>
  <c r="AN102" i="1"/>
  <c r="AM102" i="1"/>
  <c r="AL102" i="1"/>
  <c r="AK102" i="1"/>
  <c r="AJ102" i="1"/>
  <c r="AG102" i="1"/>
  <c r="AF102" i="1"/>
  <c r="AC102" i="1"/>
  <c r="AB102" i="1"/>
  <c r="Y102" i="1"/>
  <c r="V102" i="1"/>
  <c r="U102" i="1"/>
  <c r="S102" i="1"/>
  <c r="Q102" i="1"/>
  <c r="O102" i="1"/>
  <c r="AZ116" i="1" l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V116" i="1"/>
  <c r="U116" i="1"/>
  <c r="T116" i="1"/>
  <c r="S116" i="1"/>
  <c r="R116" i="1"/>
  <c r="Q116" i="1"/>
  <c r="P116" i="1"/>
  <c r="O116" i="1"/>
  <c r="N116" i="1"/>
  <c r="K116" i="1"/>
  <c r="J116" i="1"/>
  <c r="I116" i="1"/>
  <c r="H116" i="1"/>
  <c r="G116" i="1"/>
  <c r="F116" i="1"/>
  <c r="E116" i="1"/>
  <c r="D116" i="1"/>
  <c r="C116" i="1"/>
  <c r="AZ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V115" i="1"/>
  <c r="U115" i="1"/>
  <c r="T115" i="1"/>
  <c r="S115" i="1"/>
  <c r="R115" i="1"/>
  <c r="Q115" i="1"/>
  <c r="P115" i="1"/>
  <c r="O115" i="1"/>
  <c r="N115" i="1"/>
  <c r="K115" i="1"/>
  <c r="J115" i="1"/>
  <c r="I115" i="1"/>
  <c r="H115" i="1"/>
  <c r="G115" i="1"/>
  <c r="F115" i="1"/>
  <c r="E115" i="1"/>
  <c r="D115" i="1"/>
  <c r="C115" i="1"/>
  <c r="AZ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V114" i="1"/>
  <c r="U114" i="1"/>
  <c r="T114" i="1"/>
  <c r="S114" i="1"/>
  <c r="R114" i="1"/>
  <c r="Q114" i="1"/>
  <c r="P114" i="1"/>
  <c r="O114" i="1"/>
  <c r="N114" i="1"/>
  <c r="K114" i="1"/>
  <c r="J114" i="1"/>
  <c r="I114" i="1"/>
  <c r="H114" i="1"/>
  <c r="G114" i="1"/>
  <c r="F114" i="1"/>
  <c r="E114" i="1"/>
  <c r="D114" i="1"/>
  <c r="C114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V113" i="1"/>
  <c r="U113" i="1"/>
  <c r="T113" i="1"/>
  <c r="S113" i="1"/>
  <c r="R113" i="1"/>
  <c r="Q113" i="1"/>
  <c r="P113" i="1"/>
  <c r="O113" i="1"/>
  <c r="N113" i="1"/>
  <c r="K113" i="1"/>
  <c r="J113" i="1"/>
  <c r="I113" i="1"/>
  <c r="H113" i="1"/>
  <c r="G113" i="1"/>
  <c r="F113" i="1"/>
  <c r="E113" i="1"/>
  <c r="D113" i="1"/>
  <c r="C113" i="1"/>
  <c r="AZ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V112" i="1"/>
  <c r="U112" i="1"/>
  <c r="T112" i="1"/>
  <c r="S112" i="1"/>
  <c r="R112" i="1"/>
  <c r="Q112" i="1"/>
  <c r="P112" i="1"/>
  <c r="O112" i="1"/>
  <c r="N112" i="1"/>
  <c r="K112" i="1"/>
  <c r="J112" i="1"/>
  <c r="I112" i="1"/>
  <c r="H112" i="1"/>
  <c r="G112" i="1"/>
  <c r="F112" i="1"/>
  <c r="E112" i="1"/>
  <c r="D112" i="1"/>
  <c r="C112" i="1"/>
  <c r="AZ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V111" i="1"/>
  <c r="U111" i="1"/>
  <c r="T111" i="1"/>
  <c r="S111" i="1"/>
  <c r="R111" i="1"/>
  <c r="Q111" i="1"/>
  <c r="P111" i="1"/>
  <c r="O111" i="1"/>
  <c r="BI111" i="1" s="1"/>
  <c r="N111" i="1"/>
  <c r="K111" i="1"/>
  <c r="J111" i="1"/>
  <c r="I111" i="1"/>
  <c r="H111" i="1"/>
  <c r="G111" i="1"/>
  <c r="F111" i="1"/>
  <c r="E111" i="1"/>
  <c r="D111" i="1"/>
  <c r="C111" i="1"/>
  <c r="AZ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V110" i="1"/>
  <c r="U110" i="1"/>
  <c r="T110" i="1"/>
  <c r="S110" i="1"/>
  <c r="R110" i="1"/>
  <c r="Q110" i="1"/>
  <c r="P110" i="1"/>
  <c r="O110" i="1"/>
  <c r="N110" i="1"/>
  <c r="BM110" i="1" s="1"/>
  <c r="K110" i="1"/>
  <c r="J110" i="1"/>
  <c r="I110" i="1"/>
  <c r="H110" i="1"/>
  <c r="G110" i="1"/>
  <c r="F110" i="1"/>
  <c r="E110" i="1"/>
  <c r="D110" i="1"/>
  <c r="C110" i="1"/>
  <c r="AZ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V109" i="1"/>
  <c r="U109" i="1"/>
  <c r="T109" i="1"/>
  <c r="S109" i="1"/>
  <c r="R109" i="1"/>
  <c r="Q109" i="1"/>
  <c r="P109" i="1"/>
  <c r="O109" i="1"/>
  <c r="N109" i="1"/>
  <c r="K109" i="1"/>
  <c r="J109" i="1"/>
  <c r="I109" i="1"/>
  <c r="H109" i="1"/>
  <c r="F109" i="1"/>
  <c r="E109" i="1"/>
  <c r="D109" i="1"/>
  <c r="C109" i="1"/>
  <c r="AZ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V108" i="1"/>
  <c r="U108" i="1"/>
  <c r="T108" i="1"/>
  <c r="S108" i="1"/>
  <c r="R108" i="1"/>
  <c r="Q108" i="1"/>
  <c r="P108" i="1"/>
  <c r="O108" i="1"/>
  <c r="N108" i="1"/>
  <c r="K108" i="1"/>
  <c r="J108" i="1"/>
  <c r="I108" i="1"/>
  <c r="H108" i="1"/>
  <c r="G108" i="1"/>
  <c r="F108" i="1"/>
  <c r="E108" i="1"/>
  <c r="D108" i="1"/>
  <c r="C108" i="1"/>
  <c r="AZ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V107" i="1"/>
  <c r="U107" i="1"/>
  <c r="T107" i="1"/>
  <c r="S107" i="1"/>
  <c r="R107" i="1"/>
  <c r="Q107" i="1"/>
  <c r="P107" i="1"/>
  <c r="O107" i="1"/>
  <c r="N107" i="1"/>
  <c r="L107" i="1"/>
  <c r="K107" i="1"/>
  <c r="J107" i="1"/>
  <c r="I107" i="1"/>
  <c r="H107" i="1"/>
  <c r="G107" i="1"/>
  <c r="F107" i="1"/>
  <c r="E107" i="1"/>
  <c r="D107" i="1"/>
  <c r="C107" i="1"/>
  <c r="AZ102" i="1"/>
  <c r="AV102" i="1"/>
  <c r="AT102" i="1"/>
  <c r="AR102" i="1"/>
  <c r="AP102" i="1"/>
  <c r="AH102" i="1"/>
  <c r="AA102" i="1"/>
  <c r="Z102" i="1"/>
  <c r="X102" i="1"/>
  <c r="T102" i="1"/>
  <c r="R102" i="1"/>
  <c r="P102" i="1"/>
  <c r="N102" i="1"/>
  <c r="K102" i="1"/>
  <c r="J102" i="1"/>
  <c r="I102" i="1"/>
  <c r="H102" i="1"/>
  <c r="G102" i="1"/>
  <c r="E102" i="1"/>
  <c r="D102" i="1"/>
  <c r="C102" i="1"/>
  <c r="BE101" i="1"/>
  <c r="BD101" i="1"/>
  <c r="AX101" i="1"/>
  <c r="L101" i="1"/>
  <c r="BB101" i="1" s="1"/>
  <c r="BE100" i="1"/>
  <c r="BD100" i="1"/>
  <c r="AX100" i="1"/>
  <c r="L100" i="1"/>
  <c r="BB100" i="1" s="1"/>
  <c r="BE99" i="1"/>
  <c r="BD99" i="1"/>
  <c r="AX99" i="1"/>
  <c r="L99" i="1"/>
  <c r="BE98" i="1"/>
  <c r="BD98" i="1"/>
  <c r="AX98" i="1"/>
  <c r="L98" i="1"/>
  <c r="BE97" i="1"/>
  <c r="BD97" i="1"/>
  <c r="BE96" i="1"/>
  <c r="BD96" i="1"/>
  <c r="AX96" i="1"/>
  <c r="L96" i="1"/>
  <c r="BE95" i="1"/>
  <c r="BD95" i="1"/>
  <c r="BE94" i="1"/>
  <c r="BD94" i="1"/>
  <c r="AX94" i="1"/>
  <c r="L94" i="1"/>
  <c r="BE93" i="1"/>
  <c r="BD93" i="1"/>
  <c r="AX93" i="1"/>
  <c r="L93" i="1"/>
  <c r="BE92" i="1"/>
  <c r="BD92" i="1"/>
  <c r="AX92" i="1"/>
  <c r="L92" i="1"/>
  <c r="BE91" i="1"/>
  <c r="BD91" i="1"/>
  <c r="AX91" i="1"/>
  <c r="L91" i="1"/>
  <c r="BE90" i="1"/>
  <c r="BD90" i="1"/>
  <c r="AX90" i="1"/>
  <c r="L90" i="1"/>
  <c r="BE89" i="1"/>
  <c r="BD89" i="1"/>
  <c r="AX89" i="1"/>
  <c r="L89" i="1"/>
  <c r="BB89" i="1" s="1"/>
  <c r="BE88" i="1"/>
  <c r="BD88" i="1"/>
  <c r="AX88" i="1"/>
  <c r="L88" i="1"/>
  <c r="BE87" i="1"/>
  <c r="BD87" i="1"/>
  <c r="AX87" i="1"/>
  <c r="BB87" i="1" s="1"/>
  <c r="L87" i="1"/>
  <c r="BE86" i="1"/>
  <c r="BD86" i="1"/>
  <c r="AX86" i="1"/>
  <c r="L86" i="1"/>
  <c r="BE85" i="1"/>
  <c r="BD85" i="1"/>
  <c r="AX85" i="1"/>
  <c r="L85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V79" i="1"/>
  <c r="U79" i="1"/>
  <c r="T79" i="1"/>
  <c r="S79" i="1"/>
  <c r="R79" i="1"/>
  <c r="Q79" i="1"/>
  <c r="P79" i="1"/>
  <c r="O79" i="1"/>
  <c r="N79" i="1"/>
  <c r="K79" i="1"/>
  <c r="J79" i="1"/>
  <c r="I79" i="1"/>
  <c r="H79" i="1"/>
  <c r="F79" i="1"/>
  <c r="E79" i="1"/>
  <c r="D79" i="1"/>
  <c r="C79" i="1"/>
  <c r="BE78" i="1"/>
  <c r="BD78" i="1"/>
  <c r="AX78" i="1"/>
  <c r="L78" i="1"/>
  <c r="BE77" i="1"/>
  <c r="BD77" i="1"/>
  <c r="AX77" i="1"/>
  <c r="L77" i="1"/>
  <c r="BE76" i="1"/>
  <c r="BD76" i="1"/>
  <c r="AX76" i="1"/>
  <c r="L76" i="1"/>
  <c r="BE75" i="1"/>
  <c r="BD75" i="1"/>
  <c r="AX75" i="1"/>
  <c r="L75" i="1"/>
  <c r="BE74" i="1"/>
  <c r="BD74" i="1"/>
  <c r="AX74" i="1"/>
  <c r="L74" i="1"/>
  <c r="BE73" i="1"/>
  <c r="BD73" i="1"/>
  <c r="AX73" i="1"/>
  <c r="L73" i="1"/>
  <c r="BE72" i="1"/>
  <c r="BD72" i="1"/>
  <c r="AX72" i="1"/>
  <c r="L72" i="1"/>
  <c r="BE71" i="1"/>
  <c r="BD71" i="1"/>
  <c r="AX71" i="1"/>
  <c r="L71" i="1"/>
  <c r="BE70" i="1"/>
  <c r="BD70" i="1"/>
  <c r="AX70" i="1"/>
  <c r="AX115" i="1" s="1"/>
  <c r="L70" i="1"/>
  <c r="BE69" i="1"/>
  <c r="BD69" i="1"/>
  <c r="AX69" i="1"/>
  <c r="L69" i="1"/>
  <c r="BB69" i="1" s="1"/>
  <c r="BE68" i="1"/>
  <c r="BD68" i="1"/>
  <c r="AX68" i="1"/>
  <c r="L68" i="1"/>
  <c r="BE67" i="1"/>
  <c r="BD67" i="1"/>
  <c r="AX67" i="1"/>
  <c r="BB67" i="1" s="1"/>
  <c r="L67" i="1"/>
  <c r="BE66" i="1"/>
  <c r="BD66" i="1"/>
  <c r="AX66" i="1"/>
  <c r="L66" i="1"/>
  <c r="BE65" i="1"/>
  <c r="BD65" i="1"/>
  <c r="AX65" i="1"/>
  <c r="L65" i="1"/>
  <c r="BE64" i="1"/>
  <c r="BD64" i="1"/>
  <c r="AX64" i="1"/>
  <c r="L64" i="1"/>
  <c r="BE63" i="1"/>
  <c r="BD63" i="1"/>
  <c r="AX63" i="1"/>
  <c r="L63" i="1"/>
  <c r="BE62" i="1"/>
  <c r="BD62" i="1"/>
  <c r="AX62" i="1"/>
  <c r="L62" i="1"/>
  <c r="BE61" i="1"/>
  <c r="BD61" i="1"/>
  <c r="AZ113" i="1"/>
  <c r="AX61" i="1"/>
  <c r="AX113" i="1" s="1"/>
  <c r="L61" i="1"/>
  <c r="L113" i="1" s="1"/>
  <c r="BP113" i="1" s="1"/>
  <c r="BE60" i="1"/>
  <c r="BD60" i="1"/>
  <c r="AX60" i="1"/>
  <c r="L60" i="1"/>
  <c r="BE59" i="1"/>
  <c r="BD59" i="1"/>
  <c r="AX59" i="1"/>
  <c r="L59" i="1"/>
  <c r="BE58" i="1"/>
  <c r="BD58" i="1"/>
  <c r="AX58" i="1"/>
  <c r="L58" i="1"/>
  <c r="BE57" i="1"/>
  <c r="BD57" i="1"/>
  <c r="AX57" i="1"/>
  <c r="L57" i="1"/>
  <c r="BE56" i="1"/>
  <c r="BD56" i="1"/>
  <c r="AX56" i="1"/>
  <c r="L56" i="1"/>
  <c r="BE55" i="1"/>
  <c r="BD55" i="1"/>
  <c r="AX55" i="1"/>
  <c r="L55" i="1"/>
  <c r="BE54" i="1"/>
  <c r="BD54" i="1"/>
  <c r="AX54" i="1"/>
  <c r="L54" i="1"/>
  <c r="BE53" i="1"/>
  <c r="BD53" i="1"/>
  <c r="AX53" i="1"/>
  <c r="L53" i="1"/>
  <c r="BE52" i="1"/>
  <c r="BD52" i="1"/>
  <c r="AX52" i="1"/>
  <c r="L52" i="1"/>
  <c r="BB52" i="1" s="1"/>
  <c r="BE51" i="1"/>
  <c r="BD51" i="1"/>
  <c r="AX51" i="1"/>
  <c r="L51" i="1"/>
  <c r="BE50" i="1"/>
  <c r="BD50" i="1"/>
  <c r="AX50" i="1"/>
  <c r="L50" i="1"/>
  <c r="BB50" i="1" s="1"/>
  <c r="BE49" i="1"/>
  <c r="BD49" i="1"/>
  <c r="AX49" i="1"/>
  <c r="L49" i="1"/>
  <c r="BE48" i="1"/>
  <c r="BD48" i="1"/>
  <c r="AX48" i="1"/>
  <c r="BB48" i="1" s="1"/>
  <c r="L48" i="1"/>
  <c r="BE47" i="1"/>
  <c r="BD47" i="1"/>
  <c r="AX47" i="1"/>
  <c r="L47" i="1"/>
  <c r="BE46" i="1"/>
  <c r="BD46" i="1"/>
  <c r="AX46" i="1"/>
  <c r="L46" i="1"/>
  <c r="BB46" i="1" s="1"/>
  <c r="BE45" i="1"/>
  <c r="BD45" i="1"/>
  <c r="AX45" i="1"/>
  <c r="L45" i="1"/>
  <c r="BE44" i="1"/>
  <c r="BD44" i="1"/>
  <c r="AX44" i="1"/>
  <c r="L44" i="1"/>
  <c r="BE43" i="1"/>
  <c r="BD43" i="1"/>
  <c r="AX43" i="1"/>
  <c r="L43" i="1"/>
  <c r="BE42" i="1"/>
  <c r="BD42" i="1"/>
  <c r="AX42" i="1"/>
  <c r="L42" i="1"/>
  <c r="BE41" i="1"/>
  <c r="BD41" i="1"/>
  <c r="AX41" i="1"/>
  <c r="L41" i="1"/>
  <c r="BB41" i="1" s="1"/>
  <c r="BE40" i="1"/>
  <c r="BD40" i="1"/>
  <c r="AX40" i="1"/>
  <c r="L40" i="1"/>
  <c r="BE39" i="1"/>
  <c r="BD39" i="1"/>
  <c r="AX39" i="1"/>
  <c r="L39" i="1"/>
  <c r="BE38" i="1"/>
  <c r="BD38" i="1"/>
  <c r="AX38" i="1"/>
  <c r="L38" i="1"/>
  <c r="BB38" i="1" s="1"/>
  <c r="BE37" i="1"/>
  <c r="BD37" i="1"/>
  <c r="AX37" i="1"/>
  <c r="L37" i="1"/>
  <c r="BE36" i="1"/>
  <c r="BD36" i="1"/>
  <c r="AX36" i="1"/>
  <c r="L36" i="1"/>
  <c r="BE35" i="1"/>
  <c r="BD35" i="1"/>
  <c r="AX35" i="1"/>
  <c r="L35" i="1"/>
  <c r="BB35" i="1" s="1"/>
  <c r="BE34" i="1"/>
  <c r="BD34" i="1"/>
  <c r="AX34" i="1"/>
  <c r="L34" i="1"/>
  <c r="BE33" i="1"/>
  <c r="BD33" i="1"/>
  <c r="AX33" i="1"/>
  <c r="L33" i="1"/>
  <c r="BE32" i="1"/>
  <c r="BD32" i="1"/>
  <c r="AX32" i="1"/>
  <c r="L32" i="1"/>
  <c r="BE31" i="1"/>
  <c r="BD31" i="1"/>
  <c r="AX31" i="1"/>
  <c r="L31" i="1"/>
  <c r="BE30" i="1"/>
  <c r="BD30" i="1"/>
  <c r="AX30" i="1"/>
  <c r="G30" i="1"/>
  <c r="G109" i="1" s="1"/>
  <c r="BE29" i="1"/>
  <c r="BD29" i="1"/>
  <c r="AX29" i="1"/>
  <c r="L29" i="1"/>
  <c r="BE28" i="1"/>
  <c r="BD28" i="1"/>
  <c r="AX28" i="1"/>
  <c r="L28" i="1"/>
  <c r="BE27" i="1"/>
  <c r="BD27" i="1"/>
  <c r="AX27" i="1"/>
  <c r="L27" i="1"/>
  <c r="BE26" i="1"/>
  <c r="BD26" i="1"/>
  <c r="AX26" i="1"/>
  <c r="L26" i="1"/>
  <c r="BB26" i="1" s="1"/>
  <c r="BE25" i="1"/>
  <c r="BD25" i="1"/>
  <c r="AX25" i="1"/>
  <c r="L25" i="1"/>
  <c r="BE24" i="1"/>
  <c r="BD24" i="1"/>
  <c r="AX24" i="1"/>
  <c r="L24" i="1"/>
  <c r="AZ22" i="1"/>
  <c r="AW22" i="1"/>
  <c r="AV22" i="1"/>
  <c r="AU22" i="1"/>
  <c r="AT22" i="1"/>
  <c r="AS22" i="1"/>
  <c r="AR22" i="1"/>
  <c r="AQ22" i="1"/>
  <c r="AP22" i="1"/>
  <c r="AO22" i="1"/>
  <c r="AN22" i="1"/>
  <c r="AM22" i="1"/>
  <c r="AM81" i="1" s="1"/>
  <c r="AM82" i="1" s="1"/>
  <c r="AL22" i="1"/>
  <c r="AK22" i="1"/>
  <c r="AJ22" i="1"/>
  <c r="AI22" i="1"/>
  <c r="AH22" i="1"/>
  <c r="AG22" i="1"/>
  <c r="AG81" i="1" s="1"/>
  <c r="AG82" i="1" s="1"/>
  <c r="AF22" i="1"/>
  <c r="AE22" i="1"/>
  <c r="AD22" i="1"/>
  <c r="AC22" i="1"/>
  <c r="AB22" i="1"/>
  <c r="AB81" i="1" s="1"/>
  <c r="AB82" i="1" s="1"/>
  <c r="AA22" i="1"/>
  <c r="AA81" i="1" s="1"/>
  <c r="AA82" i="1" s="1"/>
  <c r="Z22" i="1"/>
  <c r="Y22" i="1"/>
  <c r="X22" i="1"/>
  <c r="V22" i="1"/>
  <c r="U22" i="1"/>
  <c r="T22" i="1"/>
  <c r="S22" i="1"/>
  <c r="R22" i="1"/>
  <c r="Q22" i="1"/>
  <c r="P22" i="1"/>
  <c r="O22" i="1"/>
  <c r="N22" i="1"/>
  <c r="K22" i="1"/>
  <c r="J22" i="1"/>
  <c r="I22" i="1"/>
  <c r="H22" i="1"/>
  <c r="G22" i="1"/>
  <c r="F22" i="1"/>
  <c r="E22" i="1"/>
  <c r="D22" i="1"/>
  <c r="C22" i="1"/>
  <c r="BE21" i="1"/>
  <c r="BD21" i="1"/>
  <c r="AX21" i="1"/>
  <c r="BM21" i="1" s="1"/>
  <c r="BN21" i="1" s="1"/>
  <c r="L21" i="1"/>
  <c r="BE20" i="1"/>
  <c r="BD20" i="1"/>
  <c r="AX20" i="1"/>
  <c r="L20" i="1"/>
  <c r="BE19" i="1"/>
  <c r="BD19" i="1"/>
  <c r="AX19" i="1"/>
  <c r="L19" i="1"/>
  <c r="BE18" i="1"/>
  <c r="BD18" i="1"/>
  <c r="AX18" i="1"/>
  <c r="BM18" i="1" s="1"/>
  <c r="BN18" i="1" s="1"/>
  <c r="L18" i="1"/>
  <c r="BE17" i="1"/>
  <c r="BD17" i="1"/>
  <c r="AX17" i="1"/>
  <c r="L17" i="1"/>
  <c r="BE16" i="1"/>
  <c r="BD16" i="1"/>
  <c r="AX16" i="1"/>
  <c r="L16" i="1"/>
  <c r="BB16" i="1" s="1"/>
  <c r="BE15" i="1"/>
  <c r="BD15" i="1"/>
  <c r="AX15" i="1"/>
  <c r="BM15" i="1" s="1"/>
  <c r="BN15" i="1" s="1"/>
  <c r="L15" i="1"/>
  <c r="BE14" i="1"/>
  <c r="BD14" i="1"/>
  <c r="AX14" i="1"/>
  <c r="BM14" i="1" s="1"/>
  <c r="BN14" i="1" s="1"/>
  <c r="L14" i="1"/>
  <c r="BE13" i="1"/>
  <c r="BD13" i="1"/>
  <c r="AX13" i="1"/>
  <c r="L13" i="1"/>
  <c r="BE12" i="1"/>
  <c r="BD12" i="1"/>
  <c r="AX12" i="1"/>
  <c r="BM12" i="1" s="1"/>
  <c r="L12" i="1"/>
  <c r="BE11" i="1"/>
  <c r="BD11" i="1"/>
  <c r="AX11" i="1"/>
  <c r="BM11" i="1" s="1"/>
  <c r="BN11" i="1" s="1"/>
  <c r="L11" i="1"/>
  <c r="BE10" i="1"/>
  <c r="BD10" i="1"/>
  <c r="AX10" i="1"/>
  <c r="L10" i="1"/>
  <c r="BB10" i="1" s="1"/>
  <c r="BE9" i="1"/>
  <c r="BD9" i="1"/>
  <c r="AX9" i="1"/>
  <c r="BM9" i="1" s="1"/>
  <c r="BN9" i="1" s="1"/>
  <c r="L9" i="1"/>
  <c r="BE8" i="1"/>
  <c r="BD8" i="1"/>
  <c r="AX8" i="1"/>
  <c r="BM8" i="1" s="1"/>
  <c r="L8" i="1"/>
  <c r="AZ5" i="1"/>
  <c r="AV5" i="1"/>
  <c r="AT5" i="1"/>
  <c r="AR5" i="1"/>
  <c r="AP5" i="1"/>
  <c r="AN5" i="1"/>
  <c r="AL5" i="1"/>
  <c r="AJ5" i="1"/>
  <c r="AH5" i="1"/>
  <c r="AG5" i="1"/>
  <c r="AF5" i="1"/>
  <c r="AD5" i="1"/>
  <c r="AB5" i="1"/>
  <c r="AA5" i="1"/>
  <c r="Z5" i="1"/>
  <c r="X5" i="1"/>
  <c r="V5" i="1"/>
  <c r="T5" i="1"/>
  <c r="R5" i="1"/>
  <c r="P5" i="1"/>
  <c r="N5" i="1"/>
  <c r="K5" i="1"/>
  <c r="J5" i="1"/>
  <c r="I5" i="1"/>
  <c r="H5" i="1"/>
  <c r="G5" i="1"/>
  <c r="F5" i="1"/>
  <c r="E5" i="1"/>
  <c r="D5" i="1"/>
  <c r="C5" i="1"/>
  <c r="BE3" i="1"/>
  <c r="BD3" i="1"/>
  <c r="AX3" i="1"/>
  <c r="L3" i="1"/>
  <c r="BE2" i="1"/>
  <c r="BE5" i="1" s="1"/>
  <c r="BD2" i="1"/>
  <c r="AX2" i="1"/>
  <c r="L2" i="1"/>
  <c r="BB71" i="1" l="1"/>
  <c r="BB24" i="1"/>
  <c r="BB36" i="1"/>
  <c r="BO108" i="1"/>
  <c r="BB17" i="1"/>
  <c r="BM17" i="1"/>
  <c r="BN17" i="1" s="1"/>
  <c r="BN8" i="1"/>
  <c r="BM22" i="1"/>
  <c r="BM81" i="1" s="1"/>
  <c r="BM109" i="1"/>
  <c r="BO109" i="1"/>
  <c r="BM108" i="1"/>
  <c r="J117" i="1"/>
  <c r="AW117" i="1"/>
  <c r="BH109" i="1"/>
  <c r="BH113" i="1"/>
  <c r="BK113" i="1" s="1"/>
  <c r="BB32" i="1"/>
  <c r="BB44" i="1"/>
  <c r="BB47" i="1"/>
  <c r="BB56" i="1"/>
  <c r="BB59" i="1"/>
  <c r="BB68" i="1"/>
  <c r="BB90" i="1"/>
  <c r="BI116" i="1"/>
  <c r="BI112" i="1"/>
  <c r="BH116" i="1"/>
  <c r="BI108" i="1"/>
  <c r="BH112" i="1"/>
  <c r="BB12" i="1"/>
  <c r="BB15" i="1"/>
  <c r="BB21" i="1"/>
  <c r="N81" i="1"/>
  <c r="N82" i="1" s="1"/>
  <c r="BB33" i="1"/>
  <c r="L110" i="1"/>
  <c r="BP110" i="1" s="1"/>
  <c r="BH108" i="1"/>
  <c r="BI115" i="1"/>
  <c r="BJ115" i="1" s="1"/>
  <c r="BH115" i="1"/>
  <c r="BB63" i="1"/>
  <c r="BH111" i="1"/>
  <c r="BI114" i="1"/>
  <c r="BB13" i="1"/>
  <c r="BI110" i="1"/>
  <c r="BH114" i="1"/>
  <c r="BB28" i="1"/>
  <c r="BB40" i="1"/>
  <c r="BB43" i="1"/>
  <c r="BB55" i="1"/>
  <c r="BB70" i="1"/>
  <c r="BH110" i="1"/>
  <c r="BI109" i="1"/>
  <c r="BI113" i="1"/>
  <c r="BB72" i="1"/>
  <c r="BB78" i="1"/>
  <c r="BB76" i="1"/>
  <c r="BB75" i="1"/>
  <c r="AK117" i="1"/>
  <c r="BD115" i="1"/>
  <c r="BE115" i="1" s="1"/>
  <c r="BB66" i="1"/>
  <c r="BB42" i="1"/>
  <c r="BB37" i="1"/>
  <c r="BB31" i="1"/>
  <c r="BB25" i="1"/>
  <c r="BB20" i="1"/>
  <c r="BB8" i="1"/>
  <c r="BB2" i="1"/>
  <c r="Y117" i="1"/>
  <c r="BB45" i="1"/>
  <c r="BB58" i="1"/>
  <c r="BB27" i="1"/>
  <c r="BB34" i="1"/>
  <c r="BB3" i="1"/>
  <c r="BB14" i="1"/>
  <c r="BB9" i="1"/>
  <c r="BB18" i="1"/>
  <c r="AJ81" i="1"/>
  <c r="AJ82" i="1" s="1"/>
  <c r="AL117" i="1"/>
  <c r="L112" i="1"/>
  <c r="BP112" i="1" s="1"/>
  <c r="BB85" i="1"/>
  <c r="L102" i="1"/>
  <c r="BD102" i="1"/>
  <c r="N117" i="1"/>
  <c r="AA117" i="1"/>
  <c r="AM117" i="1"/>
  <c r="AE117" i="1"/>
  <c r="BD111" i="1"/>
  <c r="BD113" i="1"/>
  <c r="BE113" i="1" s="1"/>
  <c r="BG113" i="1" s="1"/>
  <c r="AX110" i="1"/>
  <c r="AX5" i="1"/>
  <c r="AX112" i="1"/>
  <c r="BB112" i="1" s="1"/>
  <c r="BE102" i="1"/>
  <c r="O117" i="1"/>
  <c r="AN117" i="1"/>
  <c r="BB29" i="1"/>
  <c r="BB64" i="1"/>
  <c r="AX102" i="1"/>
  <c r="BB91" i="1"/>
  <c r="P117" i="1"/>
  <c r="AC117" i="1"/>
  <c r="AO117" i="1"/>
  <c r="BB19" i="1"/>
  <c r="AX109" i="1"/>
  <c r="BB51" i="1"/>
  <c r="C117" i="1"/>
  <c r="BD110" i="1"/>
  <c r="BB54" i="1"/>
  <c r="L114" i="1"/>
  <c r="BP114" i="1" s="1"/>
  <c r="BB86" i="1"/>
  <c r="V117" i="1"/>
  <c r="BD109" i="1"/>
  <c r="AX114" i="1"/>
  <c r="AE81" i="1"/>
  <c r="AE82" i="1" s="1"/>
  <c r="AF117" i="1"/>
  <c r="BD112" i="1"/>
  <c r="BD5" i="1"/>
  <c r="L30" i="1"/>
  <c r="BB30" i="1" s="1"/>
  <c r="BB49" i="1"/>
  <c r="BB57" i="1"/>
  <c r="BB62" i="1"/>
  <c r="BB65" i="1"/>
  <c r="BB99" i="1"/>
  <c r="F117" i="1"/>
  <c r="T117" i="1"/>
  <c r="AG117" i="1"/>
  <c r="AV81" i="1"/>
  <c r="AV82" i="1" s="1"/>
  <c r="AX111" i="1"/>
  <c r="BE111" i="1" s="1"/>
  <c r="U117" i="1"/>
  <c r="AH117" i="1"/>
  <c r="AT117" i="1"/>
  <c r="Z117" i="1"/>
  <c r="BB60" i="1"/>
  <c r="H117" i="1"/>
  <c r="K117" i="1"/>
  <c r="L108" i="1"/>
  <c r="BK108" i="1" s="1"/>
  <c r="BC5" i="1"/>
  <c r="BB74" i="1"/>
  <c r="BB77" i="1"/>
  <c r="V81" i="1"/>
  <c r="V82" i="1" s="1"/>
  <c r="AU81" i="1"/>
  <c r="AU82" i="1" s="1"/>
  <c r="X117" i="1"/>
  <c r="AV117" i="1"/>
  <c r="AZ117" i="1"/>
  <c r="BD114" i="1"/>
  <c r="J81" i="1"/>
  <c r="J82" i="1" s="1"/>
  <c r="AC81" i="1"/>
  <c r="AC82" i="1" s="1"/>
  <c r="AK81" i="1"/>
  <c r="AK82" i="1" s="1"/>
  <c r="BD22" i="1"/>
  <c r="BE22" i="1"/>
  <c r="L22" i="1"/>
  <c r="K81" i="1"/>
  <c r="K82" i="1" s="1"/>
  <c r="U81" i="1"/>
  <c r="U82" i="1" s="1"/>
  <c r="AD81" i="1"/>
  <c r="AD82" i="1" s="1"/>
  <c r="AL81" i="1"/>
  <c r="AL82" i="1" s="1"/>
  <c r="AT81" i="1"/>
  <c r="AT82" i="1" s="1"/>
  <c r="AD117" i="1"/>
  <c r="D81" i="1"/>
  <c r="D82" i="1" s="1"/>
  <c r="O81" i="1"/>
  <c r="O82" i="1" s="1"/>
  <c r="X81" i="1"/>
  <c r="X82" i="1" s="1"/>
  <c r="AF81" i="1"/>
  <c r="AF82" i="1" s="1"/>
  <c r="AN81" i="1"/>
  <c r="AN82" i="1" s="1"/>
  <c r="D117" i="1"/>
  <c r="AX108" i="1"/>
  <c r="E81" i="1"/>
  <c r="E82" i="1" s="1"/>
  <c r="P81" i="1"/>
  <c r="P82" i="1" s="1"/>
  <c r="Y81" i="1"/>
  <c r="Y82" i="1" s="1"/>
  <c r="AO81" i="1"/>
  <c r="AO82" i="1" s="1"/>
  <c r="AW81" i="1"/>
  <c r="AW82" i="1" s="1"/>
  <c r="BD108" i="1"/>
  <c r="E117" i="1"/>
  <c r="F81" i="1"/>
  <c r="F82" i="1" s="1"/>
  <c r="Q81" i="1"/>
  <c r="Q82" i="1" s="1"/>
  <c r="Z81" i="1"/>
  <c r="Z82" i="1" s="1"/>
  <c r="AH81" i="1"/>
  <c r="AH82" i="1" s="1"/>
  <c r="AP81" i="1"/>
  <c r="AP82" i="1" s="1"/>
  <c r="Q117" i="1"/>
  <c r="AP117" i="1"/>
  <c r="H81" i="1"/>
  <c r="H82" i="1" s="1"/>
  <c r="R81" i="1"/>
  <c r="R82" i="1" s="1"/>
  <c r="AI81" i="1"/>
  <c r="AI82" i="1" s="1"/>
  <c r="AQ81" i="1"/>
  <c r="AQ82" i="1" s="1"/>
  <c r="R117" i="1"/>
  <c r="AI117" i="1"/>
  <c r="AQ117" i="1"/>
  <c r="C81" i="1"/>
  <c r="C82" i="1" s="1"/>
  <c r="I81" i="1"/>
  <c r="I82" i="1" s="1"/>
  <c r="S81" i="1"/>
  <c r="S82" i="1" s="1"/>
  <c r="AR81" i="1"/>
  <c r="AR82" i="1" s="1"/>
  <c r="BB92" i="1"/>
  <c r="BD79" i="1"/>
  <c r="AX116" i="1"/>
  <c r="BB73" i="1"/>
  <c r="BE79" i="1"/>
  <c r="BD116" i="1"/>
  <c r="BE116" i="1" s="1"/>
  <c r="S117" i="1"/>
  <c r="AB117" i="1"/>
  <c r="AJ117" i="1"/>
  <c r="AR117" i="1"/>
  <c r="T81" i="1"/>
  <c r="T82" i="1" s="1"/>
  <c r="AS81" i="1"/>
  <c r="AS82" i="1" s="1"/>
  <c r="L116" i="1"/>
  <c r="I117" i="1"/>
  <c r="BB94" i="1"/>
  <c r="BB93" i="1"/>
  <c r="BB113" i="1"/>
  <c r="G117" i="1"/>
  <c r="BB53" i="1"/>
  <c r="BB96" i="1"/>
  <c r="L111" i="1"/>
  <c r="BP111" i="1" s="1"/>
  <c r="L115" i="1"/>
  <c r="BB11" i="1"/>
  <c r="G79" i="1"/>
  <c r="G81" i="1" s="1"/>
  <c r="G82" i="1" s="1"/>
  <c r="AS117" i="1"/>
  <c r="BB39" i="1"/>
  <c r="AX22" i="1"/>
  <c r="AU117" i="1"/>
  <c r="BB88" i="1"/>
  <c r="L5" i="1"/>
  <c r="BB61" i="1"/>
  <c r="AX79" i="1"/>
  <c r="AZ79" i="1"/>
  <c r="AZ81" i="1" s="1"/>
  <c r="BP116" i="1" l="1"/>
  <c r="BK116" i="1"/>
  <c r="BP115" i="1"/>
  <c r="BK115" i="1"/>
  <c r="BK110" i="1"/>
  <c r="BO117" i="1"/>
  <c r="BN12" i="1"/>
  <c r="BN22" i="1" s="1"/>
  <c r="BN81" i="1" s="1"/>
  <c r="BP108" i="1"/>
  <c r="BM117" i="1"/>
  <c r="AZ82" i="1"/>
  <c r="AZ83" i="1"/>
  <c r="BJ114" i="1"/>
  <c r="BK114" i="1"/>
  <c r="BJ112" i="1"/>
  <c r="BK112" i="1"/>
  <c r="BJ111" i="1"/>
  <c r="BK111" i="1"/>
  <c r="BH117" i="1"/>
  <c r="BJ108" i="1"/>
  <c r="BJ113" i="1"/>
  <c r="BI117" i="1"/>
  <c r="BJ109" i="1"/>
  <c r="BB114" i="1"/>
  <c r="BJ116" i="1"/>
  <c r="BJ110" i="1"/>
  <c r="BB5" i="1"/>
  <c r="BE110" i="1"/>
  <c r="BG110" i="1" s="1"/>
  <c r="AX117" i="1"/>
  <c r="BB22" i="1"/>
  <c r="BB108" i="1"/>
  <c r="L79" i="1"/>
  <c r="L81" i="1" s="1"/>
  <c r="BE114" i="1"/>
  <c r="BG114" i="1" s="1"/>
  <c r="BE108" i="1"/>
  <c r="BD81" i="1"/>
  <c r="BD82" i="1" s="1"/>
  <c r="L109" i="1"/>
  <c r="BP109" i="1" s="1"/>
  <c r="BE109" i="1"/>
  <c r="BE112" i="1"/>
  <c r="BG112" i="1" s="1"/>
  <c r="BB110" i="1"/>
  <c r="BB79" i="1"/>
  <c r="BD117" i="1"/>
  <c r="AX81" i="1"/>
  <c r="BE81" i="1"/>
  <c r="BE82" i="1" s="1"/>
  <c r="BB102" i="1"/>
  <c r="BG116" i="1"/>
  <c r="BB116" i="1"/>
  <c r="BG115" i="1"/>
  <c r="BB115" i="1"/>
  <c r="BG111" i="1"/>
  <c r="BB111" i="1"/>
  <c r="L117" i="1" l="1"/>
  <c r="BK117" i="1" s="1"/>
  <c r="BK109" i="1"/>
  <c r="L82" i="1"/>
  <c r="L83" i="1"/>
  <c r="BP117" i="1"/>
  <c r="AX82" i="1"/>
  <c r="BJ117" i="1"/>
  <c r="BB81" i="1"/>
  <c r="BE117" i="1"/>
  <c r="BG108" i="1"/>
  <c r="BB109" i="1"/>
  <c r="BB117" i="1" s="1"/>
  <c r="BG109" i="1"/>
  <c r="BB104" i="1" l="1"/>
  <c r="BB83" i="1"/>
  <c r="BB82" i="1"/>
  <c r="BB105" i="1" s="1"/>
  <c r="BG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Riddle</author>
  </authors>
  <commentList>
    <comment ref="X31" authorId="0" shapeId="0" xr:uid="{46D17CC9-9CBF-4941-90A5-375B9A120186}">
      <text>
        <r>
          <rPr>
            <b/>
            <sz val="9"/>
            <color indexed="81"/>
            <rFont val="Tahoma"/>
            <family val="2"/>
          </rPr>
          <t>Amanda Riddle:</t>
        </r>
        <r>
          <rPr>
            <sz val="9"/>
            <color indexed="81"/>
            <rFont val="Tahoma"/>
            <family val="2"/>
          </rPr>
          <t xml:space="preserve">
NTMC Portion $45k for Background Checks, DOT Physicals, Drug Testing Services</t>
        </r>
      </text>
    </comment>
    <comment ref="Y31" authorId="0" shapeId="0" xr:uid="{4FAC2AA3-A9F9-4841-A14A-03C10D8A5ACF}">
      <text>
        <r>
          <rPr>
            <b/>
            <sz val="9"/>
            <color indexed="81"/>
            <rFont val="Tahoma"/>
            <family val="2"/>
          </rPr>
          <t>Amanda Riddle:</t>
        </r>
        <r>
          <rPr>
            <sz val="9"/>
            <color indexed="81"/>
            <rFont val="Tahoma"/>
            <family val="2"/>
          </rPr>
          <t xml:space="preserve">
NTMC Portion $45k for Background Checks, DOT Physicals, Drug Testing Services</t>
        </r>
      </text>
    </comment>
    <comment ref="X64" authorId="0" shapeId="0" xr:uid="{61F4270E-CE92-413B-AFFA-06687834E13F}">
      <text>
        <r>
          <rPr>
            <b/>
            <sz val="9"/>
            <color indexed="81"/>
            <rFont val="Tahoma"/>
            <family val="2"/>
          </rPr>
          <t>Amanda Riddle:</t>
        </r>
        <r>
          <rPr>
            <sz val="9"/>
            <color indexed="81"/>
            <rFont val="Tahoma"/>
            <family val="2"/>
          </rPr>
          <t xml:space="preserve">
$300 related to tolls will remain in 500 - $12k will be accounted for in NTMC acct</t>
        </r>
      </text>
    </comment>
    <comment ref="Y64" authorId="0" shapeId="0" xr:uid="{C63A2DB9-F535-4551-8726-62F5364E8CF0}">
      <text>
        <r>
          <rPr>
            <b/>
            <sz val="9"/>
            <color indexed="81"/>
            <rFont val="Tahoma"/>
            <family val="2"/>
          </rPr>
          <t>Amanda Riddle:</t>
        </r>
        <r>
          <rPr>
            <sz val="9"/>
            <color indexed="81"/>
            <rFont val="Tahoma"/>
            <family val="2"/>
          </rPr>
          <t xml:space="preserve">
$300 related to tolls will remain in 500 - $12k will be accounted for in NTMC acct</t>
        </r>
      </text>
    </comment>
  </commentList>
</comments>
</file>

<file path=xl/sharedStrings.xml><?xml version="1.0" encoding="utf-8"?>
<sst xmlns="http://schemas.openxmlformats.org/spreadsheetml/2006/main" count="1389" uniqueCount="426">
  <si>
    <t>FY21
100
CEO</t>
  </si>
  <si>
    <t>FY21
105
Administration</t>
  </si>
  <si>
    <t>FY21
110
Board</t>
  </si>
  <si>
    <t>FY21
120
Finance</t>
  </si>
  <si>
    <t>FY21
130
Planning</t>
  </si>
  <si>
    <t>FY21
140
C&amp;M</t>
  </si>
  <si>
    <t>FY21
150
Transit Management</t>
  </si>
  <si>
    <t>FY21
170
Human Resources</t>
  </si>
  <si>
    <t>FY21
180
Information Technology</t>
  </si>
  <si>
    <t>TOTAL
FY21
G&amp;A</t>
  </si>
  <si>
    <t>FY21
200
UNT</t>
  </si>
  <si>
    <t>FY21
701
NTMC UNT</t>
  </si>
  <si>
    <t>FY21
220
Frisco</t>
  </si>
  <si>
    <t>FY21
703
NTMC Frisco</t>
  </si>
  <si>
    <t>FY21
230
CCT</t>
  </si>
  <si>
    <t>FY21
704
NTMC CCT</t>
  </si>
  <si>
    <t>FY21
240
MaaS</t>
  </si>
  <si>
    <t>FY21
505
Bus Ops 
Mgmt</t>
  </si>
  <si>
    <t>FY21
511
Denton
Fixed Route</t>
  </si>
  <si>
    <t>FY21
711
NTMC Denton
Fixed Route</t>
  </si>
  <si>
    <t>FY21
513
Lewisville
Fixed Route</t>
  </si>
  <si>
    <t>FY21
713
NTMC Lewisville
Fixed Route</t>
  </si>
  <si>
    <t>FY21
531
Denton
Demand Response</t>
  </si>
  <si>
    <t>FY21
731
NTMC Denton
Demand Response</t>
  </si>
  <si>
    <t>FY21
532
HV
Demand Response</t>
  </si>
  <si>
    <t>FY21
732
NTMC HV
Demand Response</t>
  </si>
  <si>
    <t>FY21
533
Lewisville
Demand Response</t>
  </si>
  <si>
    <t>FY21
733
NTMC Lewisville
Demand Response</t>
  </si>
  <si>
    <t>FY21
540
NTX</t>
  </si>
  <si>
    <t>FY21
740
NTMC NTX</t>
  </si>
  <si>
    <t>FY21
570
Customer Service</t>
  </si>
  <si>
    <t>FY21
770
NTMC Customer Service</t>
  </si>
  <si>
    <t>FY21
580
S&amp;D</t>
  </si>
  <si>
    <t>FY21
780
NTMC S&amp;D</t>
  </si>
  <si>
    <t>FY21
590
Maintenance</t>
  </si>
  <si>
    <t>FY21
790
NTMC Maintenance</t>
  </si>
  <si>
    <t>TOTAL 
FY21
Rail 
Services</t>
  </si>
  <si>
    <t>Passenger Revenue (Farebox)</t>
  </si>
  <si>
    <t>Contract Revenue</t>
  </si>
  <si>
    <t>TOTAL OPERATING REVENUES</t>
  </si>
  <si>
    <t>Operating Expenses</t>
  </si>
  <si>
    <t>Training</t>
  </si>
  <si>
    <t>Paid Time Off</t>
  </si>
  <si>
    <t>ER Medicare &amp; Social Security</t>
  </si>
  <si>
    <t>ER Match - Retirement</t>
  </si>
  <si>
    <t>Health Insurance</t>
  </si>
  <si>
    <t>SUTA</t>
  </si>
  <si>
    <t>FUTA</t>
  </si>
  <si>
    <t>Life &amp; Disability Insurance</t>
  </si>
  <si>
    <t>Vision</t>
  </si>
  <si>
    <t>Vehicle Allowance</t>
  </si>
  <si>
    <t>Cell Phone Allowance</t>
  </si>
  <si>
    <t>Dental</t>
  </si>
  <si>
    <t>TOTAL SALARY &amp; BENEFITS</t>
  </si>
  <si>
    <t>Management Services</t>
  </si>
  <si>
    <t>Advertising</t>
  </si>
  <si>
    <t>Towing</t>
  </si>
  <si>
    <t>Uniforms</t>
  </si>
  <si>
    <t>Service Fees</t>
  </si>
  <si>
    <t>Credit Card Clearing Fees</t>
  </si>
  <si>
    <t>Professional Services</t>
  </si>
  <si>
    <t>General Services</t>
  </si>
  <si>
    <t>Printing</t>
  </si>
  <si>
    <t>Community Involvement</t>
  </si>
  <si>
    <t>Computer &amp; Software Maintenance</t>
  </si>
  <si>
    <t>Legal Fees</t>
  </si>
  <si>
    <t>3rd Party Maintenance</t>
  </si>
  <si>
    <t>Passenger Amenities Maintenance</t>
  </si>
  <si>
    <t>Facilities Maintenance</t>
  </si>
  <si>
    <t>Fuel</t>
  </si>
  <si>
    <t>Small Tools, Safety &amp; Supplies</t>
  </si>
  <si>
    <t>Promotional Supplies</t>
  </si>
  <si>
    <t>Office Supplies</t>
  </si>
  <si>
    <t>Furniture</t>
  </si>
  <si>
    <t>Computer &amp; Software Supplies</t>
  </si>
  <si>
    <t>Postage</t>
  </si>
  <si>
    <t>Tires</t>
  </si>
  <si>
    <t>Parts</t>
  </si>
  <si>
    <t>Fluids</t>
  </si>
  <si>
    <t>Water</t>
  </si>
  <si>
    <t>Electricity</t>
  </si>
  <si>
    <t>Other Communications</t>
  </si>
  <si>
    <t>General Liability Insurance</t>
  </si>
  <si>
    <t>Property Damage Insurance</t>
  </si>
  <si>
    <t>Vehicle Insurance</t>
  </si>
  <si>
    <t>Crime Liability Insurance</t>
  </si>
  <si>
    <t>Errors &amp; Omission Liability</t>
  </si>
  <si>
    <t>Workers Compensation Insurance</t>
  </si>
  <si>
    <t>Auto Liability</t>
  </si>
  <si>
    <t>Pollution Liability Coverage</t>
  </si>
  <si>
    <t>Purchased Transportation</t>
  </si>
  <si>
    <t>Dues &amp; Subscriptions</t>
  </si>
  <si>
    <t>Registration Fees</t>
  </si>
  <si>
    <t>Travel</t>
  </si>
  <si>
    <t>Mileage Reimbursement</t>
  </si>
  <si>
    <t>Meals - Non Travel</t>
  </si>
  <si>
    <t>Contingency</t>
  </si>
  <si>
    <t>Training &amp; Development</t>
  </si>
  <si>
    <t>Operating Leases</t>
  </si>
  <si>
    <t>Depreciation - Rail O&amp;M</t>
  </si>
  <si>
    <t>Depreciation - Land Improvements</t>
  </si>
  <si>
    <t>Depreciation - Leasehold Improve</t>
  </si>
  <si>
    <t>Depreciation - FF&amp;E</t>
  </si>
  <si>
    <t>Depreciation - Computer &amp; Software</t>
  </si>
  <si>
    <t>Depreciation - Vehicles</t>
  </si>
  <si>
    <t>Depreciation - Rail Assets</t>
  </si>
  <si>
    <t>Depreciation - Rail Assets ROW</t>
  </si>
  <si>
    <t>TOTAL OPERATING (LESS SALARY &amp; BENEFITS)</t>
  </si>
  <si>
    <t>Non-Operating Revenue (Expense)</t>
  </si>
  <si>
    <t>Investment Income</t>
  </si>
  <si>
    <t>Fare Evasion Fee</t>
  </si>
  <si>
    <t>Misc Revenue</t>
  </si>
  <si>
    <t>Refunds &amp; Reimbursements</t>
  </si>
  <si>
    <t>2008 Refunded Prepay Penalty</t>
  </si>
  <si>
    <t>2009 Series Bonds Interest Exp</t>
  </si>
  <si>
    <t>2009 Cost of Debt Issuance Expense</t>
  </si>
  <si>
    <t>2011 Series CO Interest Exp</t>
  </si>
  <si>
    <t>2011 Series CO Cost of Issue</t>
  </si>
  <si>
    <t>2013 Series</t>
  </si>
  <si>
    <t>Sales Tax Revenue</t>
  </si>
  <si>
    <t>Federal Operating Grant</t>
  </si>
  <si>
    <t>Federal Capital Grant</t>
  </si>
  <si>
    <t>State Operating Grant</t>
  </si>
  <si>
    <t>State Capital Grant</t>
  </si>
  <si>
    <t>TOTAL NON-OPERATING REVENUES / (EXPENSES)</t>
  </si>
  <si>
    <t>Net Income</t>
  </si>
  <si>
    <t>Net Income (Less Depreciation)</t>
  </si>
  <si>
    <t>BUS OPERATIONS ONLY</t>
  </si>
  <si>
    <t>TOTAL</t>
  </si>
  <si>
    <t>Salary &amp; Benefits</t>
  </si>
  <si>
    <t>Utilities</t>
  </si>
  <si>
    <t>Insurance</t>
  </si>
  <si>
    <t>Employee Development</t>
  </si>
  <si>
    <t>Leases</t>
  </si>
  <si>
    <t>Depreciation</t>
  </si>
  <si>
    <t xml:space="preserve">STAFF: </t>
  </si>
  <si>
    <t>CEO</t>
  </si>
  <si>
    <t>Exec Asst./ Ofc Coord</t>
  </si>
  <si>
    <t>N/A</t>
  </si>
  <si>
    <t>Chief Financial Officer</t>
  </si>
  <si>
    <t>Deputy CEO</t>
  </si>
  <si>
    <t>VP Marketing &amp; Administration</t>
  </si>
  <si>
    <t>VP, Operations</t>
  </si>
  <si>
    <t>Human Resources Manager</t>
  </si>
  <si>
    <t>Director of IT</t>
  </si>
  <si>
    <t>Manager of Bus Administration</t>
  </si>
  <si>
    <t>AVP, Rail Operations</t>
  </si>
  <si>
    <t>Receptionist</t>
  </si>
  <si>
    <t>AVP of Regulatory Compliance</t>
  </si>
  <si>
    <t>Director of Strategic Partnerships</t>
  </si>
  <si>
    <t>Intern</t>
  </si>
  <si>
    <t>Network Administrator</t>
  </si>
  <si>
    <t>Manager of Mobility Services</t>
  </si>
  <si>
    <t>Project Controls Coordinator</t>
  </si>
  <si>
    <t>Controller</t>
  </si>
  <si>
    <t>Director of Capital Development</t>
  </si>
  <si>
    <t>Community Relations Manager</t>
  </si>
  <si>
    <t>Desktop &amp; Application Support Specialist</t>
  </si>
  <si>
    <t>Director of Bus Operations &amp; Maintenance</t>
  </si>
  <si>
    <t>Senior Manager of Rail Operations</t>
  </si>
  <si>
    <t>Director of Procurement</t>
  </si>
  <si>
    <t>Senior Regional Planner</t>
  </si>
  <si>
    <t>Senior Manager of Marketing &amp; Communications</t>
  </si>
  <si>
    <t>Operations Analyst</t>
  </si>
  <si>
    <t>Director of Railway Systems</t>
  </si>
  <si>
    <t>Senior Accountant</t>
  </si>
  <si>
    <t>Project Management Specialist</t>
  </si>
  <si>
    <t>Marketing Coordinator</t>
  </si>
  <si>
    <t xml:space="preserve">Accountant </t>
  </si>
  <si>
    <t>Executive Administrator</t>
  </si>
  <si>
    <t>Communications Coordinator</t>
  </si>
  <si>
    <t>Service Planner</t>
  </si>
  <si>
    <t>Financial Analyst</t>
  </si>
  <si>
    <t>Community Relations Coordinator</t>
  </si>
  <si>
    <t>Intern (Bus Ops)</t>
  </si>
  <si>
    <t>Senior Manager of Budget</t>
  </si>
  <si>
    <t>Mobility Coordinator</t>
  </si>
  <si>
    <t>Grants Manager</t>
  </si>
  <si>
    <t>Procurement Specialist</t>
  </si>
  <si>
    <t>Other Miscellaneous</t>
  </si>
  <si>
    <t>Data &amp; Phone Circuits</t>
  </si>
  <si>
    <t>Outsourced Services &amp; Charges</t>
  </si>
  <si>
    <t>Materials &amp; Supplies</t>
  </si>
  <si>
    <t>Salary &amp; Wages - Regular</t>
  </si>
  <si>
    <t>Salary &amp; Wages - Overtime</t>
  </si>
  <si>
    <t>FY21
500
Bus Service 
Admin</t>
  </si>
  <si>
    <t>FY21
700
NTMC Bus Service 
Admin</t>
  </si>
  <si>
    <t>Account
Number</t>
  </si>
  <si>
    <t>Account Description</t>
  </si>
  <si>
    <t>AUGUST ADJUSTMENTS MADE:</t>
  </si>
  <si>
    <t>SunGard Upgrade Rollover</t>
  </si>
  <si>
    <t>TOTAL 
Bus Services</t>
  </si>
  <si>
    <t>GRAND TOTAL</t>
  </si>
  <si>
    <t>TOTAL DCTA (ALL)</t>
  </si>
  <si>
    <t>TOTAL FY22
BUS 
ESCALATED</t>
  </si>
  <si>
    <t>BUS</t>
  </si>
  <si>
    <t>DCTA</t>
  </si>
  <si>
    <t>CARES ACT FUNDING (RECALCULATED) :</t>
  </si>
  <si>
    <t>2020 Series Bond Interest Exepense</t>
  </si>
  <si>
    <t>2020 Series Cost of Debt Issue</t>
  </si>
  <si>
    <t>Reference Materials &amp; Books</t>
  </si>
  <si>
    <t>Total DCTA
Bus Services</t>
  </si>
  <si>
    <t>Total NTMC
Bus Services</t>
  </si>
  <si>
    <t>GRAND TOTAL
BUS SERVICES</t>
  </si>
  <si>
    <t>GRAND TOTAL
DCTA OPERATING
(G&amp;A + RAIL + BUS)</t>
  </si>
  <si>
    <t>FY 2022
105
Administration</t>
  </si>
  <si>
    <t>FY 2022
110
Board</t>
  </si>
  <si>
    <t>FY 2022
120
Finance</t>
  </si>
  <si>
    <t>FY 2022
130
Planning</t>
  </si>
  <si>
    <t>FY 2022
140
C&amp;M</t>
  </si>
  <si>
    <t>FY 2022
150
Transit Management</t>
  </si>
  <si>
    <t>FY 2022
170
Human Resources</t>
  </si>
  <si>
    <t>FY 2022
180
Information Technology</t>
  </si>
  <si>
    <t>TOTAL
FY 2022
G&amp;A</t>
  </si>
  <si>
    <t>FY 2022
200
UNT</t>
  </si>
  <si>
    <t>FY 2022
701
NTMC UNT</t>
  </si>
  <si>
    <t>FY 2022
220
Frisco</t>
  </si>
  <si>
    <t>FY 2022
703
NTMC Frisco</t>
  </si>
  <si>
    <t>FY 2022
230
CCT</t>
  </si>
  <si>
    <t>FY 2022
704
NTMC CCT</t>
  </si>
  <si>
    <t>FY 2022
240
MaaS</t>
  </si>
  <si>
    <t>FY 2022
500
Bus Service 
Admin</t>
  </si>
  <si>
    <t>FY 2022
700
NTMC Bus Service 
Admin</t>
  </si>
  <si>
    <t>FY 2022
505
Bus Ops 
Mgmt</t>
  </si>
  <si>
    <t>FY 2022
511
Denton
Fixed Route</t>
  </si>
  <si>
    <t>FY 2022
711
NTMC Denton
Fixed Route</t>
  </si>
  <si>
    <t>FY 2022
513
Lewisville
Fixed Route</t>
  </si>
  <si>
    <t>FY 2022
713
NTMC Lewisville
Fixed Route</t>
  </si>
  <si>
    <t>FY 2022
730
NTMC Demand Response</t>
  </si>
  <si>
    <t>FY 2022
531
Denton
Demand Response</t>
  </si>
  <si>
    <t>FY 2022
731
NTMC Denton
Demand Response</t>
  </si>
  <si>
    <t>FY 2022
532
HV
Demand Response</t>
  </si>
  <si>
    <t>FY 2022
732
NTMC HV
Demand Response</t>
  </si>
  <si>
    <t>FY 2022
533
Lewisville
Demand Response</t>
  </si>
  <si>
    <t>FY 2022
733
NTMC Lewisville
Demand Response</t>
  </si>
  <si>
    <t>FY 2022
540
NTX</t>
  </si>
  <si>
    <t>FY 2022
740
NTMC NTX</t>
  </si>
  <si>
    <t>FY 2022
570
Customer Service</t>
  </si>
  <si>
    <t>FY 2022
770
NTMC Customer Service</t>
  </si>
  <si>
    <t>FY 2022
580
S&amp;D</t>
  </si>
  <si>
    <t>FY 2022
780
NTMC S&amp;D</t>
  </si>
  <si>
    <t>FY 2022
590
Maintenance</t>
  </si>
  <si>
    <t>FY 2022
790
NTMC Maintenance</t>
  </si>
  <si>
    <t>TOTAL
FY 2022
Bus
Services
(DCTA + NTMC)</t>
  </si>
  <si>
    <t>TOTAL 
FY 2022
Rail 
Services</t>
  </si>
  <si>
    <t>FY 2022
100
CEO</t>
  </si>
  <si>
    <t>TOTAL 
FY 2022 
Proposed
Budget</t>
  </si>
  <si>
    <t>TOTAL
FY22
G&amp;A</t>
  </si>
  <si>
    <t>% CHANGE</t>
  </si>
  <si>
    <t>GENERAL &amp; ADMINISTRATIVE</t>
  </si>
  <si>
    <t>CONTRACT SERVICES</t>
  </si>
  <si>
    <t>TOTAL
FY21
CONTRACT</t>
  </si>
  <si>
    <t>TOTAL
FY22
CONTRACT</t>
  </si>
  <si>
    <t>BUS SERVICES</t>
  </si>
  <si>
    <t>TOTAL
FY21
BUS
(FR + DR)</t>
  </si>
  <si>
    <t>TOTAL
FY22
BUS
(FR + DR)</t>
  </si>
  <si>
    <t>RAIL SERVICES</t>
  </si>
  <si>
    <t>TOTAL OPERATING BUDGET</t>
  </si>
  <si>
    <t>TOTAL 
FY 2022
Proposed</t>
  </si>
  <si>
    <t>TOTAL OPERATING EXENSES</t>
  </si>
  <si>
    <t>GRAND TOTAL BUS SERVICES FR &amp; DR</t>
  </si>
  <si>
    <t>TOTAL 
FY21
Revised</t>
  </si>
  <si>
    <t>FY20
100
CEO</t>
  </si>
  <si>
    <t>FY20
105
Administration</t>
  </si>
  <si>
    <t>FY20
110
Board</t>
  </si>
  <si>
    <t>FY20
120
Finance</t>
  </si>
  <si>
    <t>FY20
130
Planning</t>
  </si>
  <si>
    <t>FY20
140
C&amp;M</t>
  </si>
  <si>
    <t>FY20
150
Transit Management</t>
  </si>
  <si>
    <t>FY20
170
Human Resources</t>
  </si>
  <si>
    <t>FY20
180
Information Technology</t>
  </si>
  <si>
    <t>TOTAL
FY20
G&amp;A</t>
  </si>
  <si>
    <t>FY20
200
UNT</t>
  </si>
  <si>
    <t>FY20
701
NTMC UNT</t>
  </si>
  <si>
    <t>FY20
210
NCTC</t>
  </si>
  <si>
    <t>FY20
702
NTMC NCTC</t>
  </si>
  <si>
    <t>FY20
220
Frisco</t>
  </si>
  <si>
    <t>FY20
703
NTMC Frisco</t>
  </si>
  <si>
    <t>FY20
230
CCT</t>
  </si>
  <si>
    <t>FY20
704
NTMC CCT</t>
  </si>
  <si>
    <t>FY20
240
MaaS</t>
  </si>
  <si>
    <t>FY20
500
Bus Srvc 
Admin</t>
  </si>
  <si>
    <t>FY20
700
NTMC Bus Srvc 
Admin</t>
  </si>
  <si>
    <t>FY20
505
Bus Ops 
Mgmt</t>
  </si>
  <si>
    <t>FY20
510
Fixed 
Route</t>
  </si>
  <si>
    <t>FY20
511
Denton
Fixed Route</t>
  </si>
  <si>
    <t>FY20
711
NTMC Denton
Fixed Route</t>
  </si>
  <si>
    <t>FY20
512
Highland Village
Fixed Route</t>
  </si>
  <si>
    <t>FY20
712
NTMC Highland Village
Fixed Route</t>
  </si>
  <si>
    <t>FY20
513
Lewisville
Fixed Route</t>
  </si>
  <si>
    <t>FY20
713
NTMC Lewisville
Fixed Route</t>
  </si>
  <si>
    <t>FY20
530
Demand Response</t>
  </si>
  <si>
    <t>FY20
730
NTMC Demand Response</t>
  </si>
  <si>
    <t>FY20
531
Denton
Demand Response</t>
  </si>
  <si>
    <t>FY20
731
NTMC Denton
Demand Response</t>
  </si>
  <si>
    <t>FY20
532
HV
Demand Response</t>
  </si>
  <si>
    <t>FY20
732
NTMC HV
Demand Response</t>
  </si>
  <si>
    <t>FY20
533
Lewisville
Demand Response</t>
  </si>
  <si>
    <t>FY20
733
NTMC Lewisville
Demand Response</t>
  </si>
  <si>
    <t>FY20
540
NTX</t>
  </si>
  <si>
    <t>FY20
740
NTMC NTX</t>
  </si>
  <si>
    <t>FY20
570
Customer Service</t>
  </si>
  <si>
    <t>FY20
770
NTMC Customer Service</t>
  </si>
  <si>
    <t>FY20
580
S&amp;D</t>
  </si>
  <si>
    <t>FY20
780
NTMC S&amp;D</t>
  </si>
  <si>
    <t>FY20
590
Maintenance</t>
  </si>
  <si>
    <t>FY20
790
NTMC Maintenance</t>
  </si>
  <si>
    <t>TOTAL
FY20
Bus
Services</t>
  </si>
  <si>
    <t>TOTAL 
FY20
Rail 
Services</t>
  </si>
  <si>
    <t>TOTAL 
FY20
Budget</t>
  </si>
  <si>
    <t>Passenger Revenue</t>
  </si>
  <si>
    <t>S&amp;W - Regular</t>
  </si>
  <si>
    <t>S&amp;W - OT</t>
  </si>
  <si>
    <t>ELP's INCLUDED IN FY20 BASELINE OPERATING BUDGET</t>
  </si>
  <si>
    <t>ER Medicare &amp; OASDI</t>
  </si>
  <si>
    <t>RAIL ELP'S:</t>
  </si>
  <si>
    <t>FY20</t>
  </si>
  <si>
    <t>Account</t>
  </si>
  <si>
    <t>*Included in Facilities Maintenance Plan</t>
  </si>
  <si>
    <t>PTC Operating Expense</t>
  </si>
  <si>
    <t>620-50810</t>
  </si>
  <si>
    <t>Total Rail:</t>
  </si>
  <si>
    <t>G&amp;A ELP's:</t>
  </si>
  <si>
    <t>DDTC Server Room</t>
  </si>
  <si>
    <t>180-50310</t>
  </si>
  <si>
    <t>Phase 2 - Corinth Rail Station Concept</t>
  </si>
  <si>
    <t>130-50309</t>
  </si>
  <si>
    <t>**Offset by Corinth 100% Reimbursement</t>
  </si>
  <si>
    <t>HR Assistant - PT: Salary</t>
  </si>
  <si>
    <t>170-50110</t>
  </si>
  <si>
    <t>HR Assistant - PT: Benefits</t>
  </si>
  <si>
    <t>170-50205</t>
  </si>
  <si>
    <t>HR Assistant - PT: IT Equipment</t>
  </si>
  <si>
    <t>180-50440</t>
  </si>
  <si>
    <t>Total G&amp;A:</t>
  </si>
  <si>
    <t>BUS ELP's:</t>
  </si>
  <si>
    <t>Bus Ops Buyer</t>
  </si>
  <si>
    <t>Maint Dept</t>
  </si>
  <si>
    <t>Large Vehicle Repowers</t>
  </si>
  <si>
    <t>590-50455</t>
  </si>
  <si>
    <t>TOTAL ELP's Included in Baseline:</t>
  </si>
  <si>
    <t>Phones</t>
  </si>
  <si>
    <t>Other Miscelleneous</t>
  </si>
  <si>
    <t>TOTAL FY20 OPERATING EXPENSES</t>
  </si>
  <si>
    <t>Total FY20 Operating (Less Depreciation)</t>
  </si>
  <si>
    <t>Interest Income</t>
  </si>
  <si>
    <t>Misc Income</t>
  </si>
  <si>
    <t>Sales Tax</t>
  </si>
  <si>
    <t>TOTAL 
FY20 
NTMC 
Budget</t>
  </si>
  <si>
    <t>Services</t>
  </si>
  <si>
    <t>M&amp;S</t>
  </si>
  <si>
    <t>PT</t>
  </si>
  <si>
    <t>Misc</t>
  </si>
  <si>
    <t>FY20
705
NTMC MaaS</t>
  </si>
  <si>
    <t>FY20
500
Bus Service 
Admin</t>
  </si>
  <si>
    <t>FY20
700
NTMC Bus Service 
Admin</t>
  </si>
  <si>
    <t>TOTAL
FY20
Bus
Services
(DCTA + NTMC)</t>
  </si>
  <si>
    <t>TOTAL 
FY20 
Adopted
Budget</t>
  </si>
  <si>
    <t>TOTAL FY20 DCTA 
BUS SERVICES</t>
  </si>
  <si>
    <t>TOTAL FY20 NTMC
BUS SERVICES</t>
  </si>
  <si>
    <t>TOTAL 
FY20
505</t>
  </si>
  <si>
    <t>TOTAL
FY20
Bus
Services
(Less 505)
(DCTA + NTMC)</t>
  </si>
  <si>
    <t>TOTAL 
FY20 
DCTA BUS 
Budget</t>
  </si>
  <si>
    <t>TOTAL
FY20
DCTA
BUDGET</t>
  </si>
  <si>
    <t>TOTAL
FY20
DCTA Bus</t>
  </si>
  <si>
    <t>TOTAL
FY20
NTMC Bus</t>
  </si>
  <si>
    <t>TOTAL
FY20
Bus
Services
(DCTA Only)</t>
  </si>
  <si>
    <t>TOTAL
FY20
Bus
Services
(NTMC Only)</t>
  </si>
  <si>
    <t xml:space="preserve">TOTAL
FY20
DCTA </t>
  </si>
  <si>
    <t>TOTAL 
FY20 
Revised
Budget</t>
  </si>
  <si>
    <t>TOTAL
FY20
CONTRACT</t>
  </si>
  <si>
    <t>TOTAL
FY20
BUS
(FR + DR)</t>
  </si>
  <si>
    <t>TOTAL 
FY20
Adopted</t>
  </si>
  <si>
    <t>FY20
210
UNT</t>
  </si>
  <si>
    <t>FY20
702
NTMC UNT</t>
  </si>
  <si>
    <t>FY 2022
210
UNT</t>
  </si>
  <si>
    <t>FY 2022
702
NTMC UNT</t>
  </si>
  <si>
    <t>FY20
510
Bus Ops 
Mgmt</t>
  </si>
  <si>
    <t>FY 2022
510
Bus Ops 
Mgmt</t>
  </si>
  <si>
    <t>FY20
512
Denton
Fixed Route</t>
  </si>
  <si>
    <t>FY20
712
NTMC Denton
Fixed Route</t>
  </si>
  <si>
    <t>FY 2022
512
Denton
Fixed Route</t>
  </si>
  <si>
    <t>FY 2022
712
NTMC Denton
Fixed Route</t>
  </si>
  <si>
    <t>FY20
530
Lewisville
Fixed Route</t>
  </si>
  <si>
    <t>FY20
730
NTMC Lewisville
Fixed Route</t>
  </si>
  <si>
    <t>FY 2022
530
Lewisville
Fixed Route</t>
  </si>
  <si>
    <t>FY 2022
730
NTMC Lewisville
Fixed Route</t>
  </si>
  <si>
    <t>OVERHEAD G&amp;A TO ALLOCATE TO OPERATIONS:</t>
  </si>
  <si>
    <t>G&amp;A</t>
  </si>
  <si>
    <t>Bus Ops</t>
  </si>
  <si>
    <t>Rail Ops</t>
  </si>
  <si>
    <t>Director of Capital Development (Dept 130)</t>
  </si>
  <si>
    <t>Jacob / Procurement Specialist (Dept 120)</t>
  </si>
  <si>
    <t>VP of Administration &amp; Mobility (Dept 150)</t>
  </si>
  <si>
    <t>Deputy CEO (Dept 150)</t>
  </si>
  <si>
    <t>Project Controls Coordinator (Dept 150)</t>
  </si>
  <si>
    <t>*Budgeted vacant position in FY22</t>
  </si>
  <si>
    <t>*Proposed FY22 Capital :</t>
  </si>
  <si>
    <t>VP of Administration &amp; Mobility $$ Impact</t>
  </si>
  <si>
    <t>Deputy CEO $$ Impact</t>
  </si>
  <si>
    <t>Project Controls Coordinator $$ Impact</t>
  </si>
  <si>
    <t>Jacob / Procurement Specialist $$ Impact</t>
  </si>
  <si>
    <t>Total</t>
  </si>
  <si>
    <t>Total $$</t>
  </si>
  <si>
    <t>ADJUSTED PROPOSED FY22 TOTALS:</t>
  </si>
  <si>
    <t>CURRENT PROPOSED FY22 TOTALS:</t>
  </si>
  <si>
    <t xml:space="preserve">Overhead Administration should be spread over operating &amp; capital budget </t>
  </si>
  <si>
    <t>Total Operating</t>
  </si>
  <si>
    <t>Total Capital</t>
  </si>
  <si>
    <t>G&amp;A (Current)</t>
  </si>
  <si>
    <t>G&amp;A (Adjusted)</t>
  </si>
  <si>
    <t>Overhead Administration compared to Operating + Capital budget</t>
  </si>
  <si>
    <t>TOTAL FY22 OPERATING EXPENSES</t>
  </si>
  <si>
    <t>Passenger Revenue (VIA Farebox)</t>
  </si>
  <si>
    <t>FY 2022
500
Bus Admin</t>
  </si>
  <si>
    <t>FY 2022
700
NTMC Bus Admin</t>
  </si>
  <si>
    <t>FY 2022
505
Mobility Services</t>
  </si>
  <si>
    <t>RAIL DEVELOPMENT</t>
  </si>
  <si>
    <t>FY20
505
Mobility Services</t>
  </si>
  <si>
    <t>TOTAL 
FY 2022
Rail 
Operations</t>
  </si>
  <si>
    <t>2021 Series Bond Interest Exp</t>
  </si>
  <si>
    <t>FY 2022
535
Denton
GoZone</t>
  </si>
  <si>
    <t>FY 2022
536
HV
GoZone</t>
  </si>
  <si>
    <t>FY 2022
537
Lewisville
GoZone</t>
  </si>
  <si>
    <t>NET INCOME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</si>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</sst>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genda"/>
    </font>
    <font>
      <sz val="10"/>
      <color theme="1"/>
      <name val="Agenda"/>
    </font>
    <font>
      <b/>
      <sz val="9"/>
      <color theme="0"/>
      <name val="Agenda"/>
    </font>
    <font>
      <i/>
      <sz val="10"/>
      <color theme="1"/>
      <name val="Agenda"/>
    </font>
    <font>
      <b/>
      <sz val="10"/>
      <color theme="1"/>
      <name val="Agenda"/>
    </font>
    <font>
      <u/>
      <sz val="10"/>
      <color theme="1"/>
      <name val="Agenda"/>
    </font>
    <font>
      <sz val="9"/>
      <name val="Agenda"/>
    </font>
    <font>
      <sz val="9"/>
      <color theme="1"/>
      <name val="Agenda"/>
    </font>
    <font>
      <b/>
      <u/>
      <sz val="10"/>
      <color theme="1"/>
      <name val="Agenda"/>
    </font>
    <font>
      <b/>
      <i/>
      <sz val="10"/>
      <color theme="1"/>
      <name val="Agenda"/>
    </font>
    <font>
      <i/>
      <sz val="10"/>
      <color theme="0"/>
      <name val="Agenda"/>
    </font>
    <font>
      <i/>
      <sz val="9"/>
      <color theme="1"/>
      <name val="Agenda"/>
    </font>
    <font>
      <i/>
      <sz val="10"/>
      <color rgb="FFFF0000"/>
      <name val="Agenda"/>
    </font>
    <font>
      <sz val="10"/>
      <color theme="0"/>
      <name val="Agenda"/>
    </font>
    <font>
      <sz val="22"/>
      <color theme="1"/>
      <name val="Agenda"/>
    </font>
    <font>
      <b/>
      <i/>
      <sz val="9"/>
      <color theme="0"/>
      <name val="Agenda"/>
    </font>
    <font>
      <b/>
      <i/>
      <sz val="10"/>
      <color theme="0"/>
      <name val="Agenda"/>
    </font>
    <font>
      <sz val="12"/>
      <color theme="0"/>
      <name val="Agenda"/>
    </font>
    <font>
      <sz val="10"/>
      <name val="Agenda"/>
    </font>
    <font>
      <i/>
      <sz val="10"/>
      <name val="Agenda"/>
    </font>
    <font>
      <sz val="12"/>
      <name val="Agend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1E384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AFDF"/>
        <bgColor indexed="64"/>
      </patternFill>
    </fill>
    <fill>
      <patternFill patternType="solid">
        <fgColor rgb="FFD9E8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B8E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BDDF7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1E384B"/>
      </left>
      <right/>
      <top/>
      <bottom/>
      <diagonal/>
    </border>
    <border>
      <left/>
      <right style="thin">
        <color rgb="FF1E384B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1E384B"/>
      </left>
      <right/>
      <top/>
      <bottom style="thin">
        <color auto="1"/>
      </bottom>
      <diagonal/>
    </border>
    <border>
      <left/>
      <right style="thin">
        <color rgb="FF1E384B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1E384B"/>
      </bottom>
      <diagonal/>
    </border>
    <border>
      <left style="thin">
        <color rgb="FF1E384B"/>
      </left>
      <right style="thin">
        <color rgb="FF1E384B"/>
      </right>
      <top style="thin">
        <color rgb="FF1E384B"/>
      </top>
      <bottom/>
      <diagonal/>
    </border>
    <border>
      <left style="thin">
        <color rgb="FF1E384B"/>
      </left>
      <right style="thin">
        <color rgb="FF1E384B"/>
      </right>
      <top/>
      <bottom/>
      <diagonal/>
    </border>
    <border>
      <left style="thin">
        <color rgb="FF1E384B"/>
      </left>
      <right style="thin">
        <color rgb="FF1E384B"/>
      </right>
      <top/>
      <bottom style="thin">
        <color rgb="FF1E384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3">
    <xf numFmtId="0" fontId="0" fillId="0" borderId="0" xfId="0"/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64" fontId="3" fillId="0" borderId="3" xfId="0" applyNumberFormat="1" applyFont="1" applyBorder="1"/>
    <xf numFmtId="0" fontId="5" fillId="7" borderId="0" xfId="0" applyFont="1" applyFill="1" applyAlignment="1">
      <alignment horizontal="center" wrapText="1"/>
    </xf>
    <xf numFmtId="164" fontId="5" fillId="7" borderId="0" xfId="1" applyNumberFormat="1" applyFont="1" applyFill="1"/>
    <xf numFmtId="164" fontId="5" fillId="0" borderId="0" xfId="1" applyNumberFormat="1" applyFont="1"/>
    <xf numFmtId="0" fontId="5" fillId="0" borderId="0" xfId="0" applyFont="1"/>
    <xf numFmtId="0" fontId="2" fillId="2" borderId="0" xfId="0" applyFont="1" applyFill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44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9" fillId="0" borderId="0" xfId="1" applyNumberFormat="1" applyFont="1"/>
    <xf numFmtId="0" fontId="9" fillId="0" borderId="0" xfId="0" applyFont="1" applyAlignment="1">
      <alignment horizontal="center"/>
    </xf>
    <xf numFmtId="44" fontId="6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11" fillId="0" borderId="0" xfId="1" applyNumberFormat="1" applyFont="1"/>
    <xf numFmtId="0" fontId="12" fillId="2" borderId="0" xfId="0" applyFont="1" applyFill="1" applyAlignment="1">
      <alignment horizontal="center"/>
    </xf>
    <xf numFmtId="164" fontId="12" fillId="2" borderId="0" xfId="1" applyNumberFormat="1" applyFont="1" applyFill="1"/>
    <xf numFmtId="164" fontId="12" fillId="0" borderId="0" xfId="1" applyNumberFormat="1" applyFont="1"/>
    <xf numFmtId="164" fontId="12" fillId="2" borderId="0" xfId="0" applyNumberFormat="1" applyFont="1" applyFill="1"/>
    <xf numFmtId="164" fontId="12" fillId="0" borderId="0" xfId="0" applyNumberFormat="1" applyFont="1"/>
    <xf numFmtId="0" fontId="13" fillId="0" borderId="0" xfId="0" applyFont="1"/>
    <xf numFmtId="164" fontId="9" fillId="0" borderId="0" xfId="0" applyNumberFormat="1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1" applyFont="1"/>
    <xf numFmtId="164" fontId="11" fillId="0" borderId="0" xfId="0" applyNumberFormat="1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5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15" fillId="0" borderId="0" xfId="1" applyNumberFormat="1" applyFont="1"/>
    <xf numFmtId="0" fontId="3" fillId="0" borderId="0" xfId="0" applyFont="1" applyAlignment="1">
      <alignment horizontal="center" vertical="center"/>
    </xf>
    <xf numFmtId="0" fontId="5" fillId="7" borderId="0" xfId="0" applyFont="1" applyFill="1" applyAlignment="1">
      <alignment horizontal="right"/>
    </xf>
    <xf numFmtId="164" fontId="3" fillId="0" borderId="0" xfId="1" applyNumberFormat="1" applyFont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164" fontId="3" fillId="0" borderId="9" xfId="1" applyNumberFormat="1" applyFont="1" applyBorder="1"/>
    <xf numFmtId="164" fontId="3" fillId="0" borderId="10" xfId="1" applyNumberFormat="1" applyFont="1" applyBorder="1"/>
    <xf numFmtId="0" fontId="16" fillId="0" borderId="1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13" xfId="0" applyFont="1" applyBorder="1"/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/>
    <xf numFmtId="0" fontId="3" fillId="0" borderId="15" xfId="0" applyFont="1" applyBorder="1"/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wrapText="1"/>
    </xf>
    <xf numFmtId="164" fontId="3" fillId="0" borderId="16" xfId="0" applyNumberFormat="1" applyFont="1" applyBorder="1"/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 applyFill="1"/>
    <xf numFmtId="42" fontId="3" fillId="0" borderId="0" xfId="1" applyNumberFormat="1" applyFont="1"/>
    <xf numFmtId="42" fontId="5" fillId="7" borderId="0" xfId="1" applyNumberFormat="1" applyFont="1" applyFill="1"/>
    <xf numFmtId="42" fontId="2" fillId="2" borderId="0" xfId="1" applyNumberFormat="1" applyFont="1" applyFill="1" applyAlignment="1">
      <alignment horizontal="center"/>
    </xf>
    <xf numFmtId="42" fontId="12" fillId="2" borderId="0" xfId="1" applyNumberFormat="1" applyFont="1" applyFill="1"/>
    <xf numFmtId="42" fontId="3" fillId="3" borderId="0" xfId="1" applyNumberFormat="1" applyFont="1" applyFill="1"/>
    <xf numFmtId="42" fontId="3" fillId="4" borderId="1" xfId="1" applyNumberFormat="1" applyFont="1" applyFill="1" applyBorder="1"/>
    <xf numFmtId="42" fontId="3" fillId="4" borderId="0" xfId="1" applyNumberFormat="1" applyFont="1" applyFill="1"/>
    <xf numFmtId="42" fontId="3" fillId="6" borderId="0" xfId="1" applyNumberFormat="1" applyFont="1" applyFill="1"/>
    <xf numFmtId="42" fontId="3" fillId="0" borderId="0" xfId="0" applyNumberFormat="1" applyFont="1"/>
    <xf numFmtId="42" fontId="3" fillId="0" borderId="3" xfId="1" applyNumberFormat="1" applyFont="1" applyBorder="1"/>
    <xf numFmtId="42" fontId="3" fillId="3" borderId="3" xfId="1" applyNumberFormat="1" applyFont="1" applyFill="1" applyBorder="1"/>
    <xf numFmtId="42" fontId="3" fillId="4" borderId="3" xfId="1" applyNumberFormat="1" applyFont="1" applyFill="1" applyBorder="1"/>
    <xf numFmtId="42" fontId="3" fillId="6" borderId="3" xfId="1" applyNumberFormat="1" applyFont="1" applyFill="1" applyBorder="1"/>
    <xf numFmtId="42" fontId="3" fillId="0" borderId="3" xfId="0" applyNumberFormat="1" applyFont="1" applyBorder="1"/>
    <xf numFmtId="42" fontId="5" fillId="0" borderId="0" xfId="1" applyNumberFormat="1" applyFont="1"/>
    <xf numFmtId="42" fontId="5" fillId="7" borderId="1" xfId="1" applyNumberFormat="1" applyFont="1" applyFill="1" applyBorder="1"/>
    <xf numFmtId="42" fontId="5" fillId="7" borderId="2" xfId="1" applyNumberFormat="1" applyFont="1" applyFill="1" applyBorder="1"/>
    <xf numFmtId="42" fontId="3" fillId="0" borderId="1" xfId="1" applyNumberFormat="1" applyFont="1" applyBorder="1"/>
    <xf numFmtId="42" fontId="3" fillId="0" borderId="2" xfId="1" applyNumberFormat="1" applyFont="1" applyBorder="1"/>
    <xf numFmtId="42" fontId="2" fillId="0" borderId="0" xfId="1" applyNumberFormat="1" applyFont="1" applyAlignment="1">
      <alignment horizontal="center"/>
    </xf>
    <xf numFmtId="42" fontId="2" fillId="2" borderId="1" xfId="1" applyNumberFormat="1" applyFont="1" applyFill="1" applyBorder="1" applyAlignment="1">
      <alignment horizontal="center"/>
    </xf>
    <xf numFmtId="42" fontId="2" fillId="2" borderId="2" xfId="1" applyNumberFormat="1" applyFont="1" applyFill="1" applyBorder="1" applyAlignment="1">
      <alignment horizontal="center"/>
    </xf>
    <xf numFmtId="42" fontId="12" fillId="0" borderId="0" xfId="1" applyNumberFormat="1" applyFont="1"/>
    <xf numFmtId="42" fontId="12" fillId="2" borderId="1" xfId="1" applyNumberFormat="1" applyFont="1" applyFill="1" applyBorder="1"/>
    <xf numFmtId="42" fontId="12" fillId="2" borderId="2" xfId="1" applyNumberFormat="1" applyFont="1" applyFill="1" applyBorder="1"/>
    <xf numFmtId="42" fontId="12" fillId="2" borderId="0" xfId="0" applyNumberFormat="1" applyFont="1" applyFill="1"/>
    <xf numFmtId="42" fontId="3" fillId="3" borderId="0" xfId="0" applyNumberFormat="1" applyFont="1" applyFill="1"/>
    <xf numFmtId="42" fontId="11" fillId="0" borderId="0" xfId="1" applyNumberFormat="1" applyFont="1"/>
    <xf numFmtId="42" fontId="5" fillId="0" borderId="0" xfId="1" applyNumberFormat="1" applyFont="1" applyFill="1"/>
    <xf numFmtId="42" fontId="5" fillId="0" borderId="0" xfId="1" applyNumberFormat="1" applyFont="1" applyFill="1" applyAlignment="1">
      <alignment horizontal="right"/>
    </xf>
    <xf numFmtId="42" fontId="15" fillId="2" borderId="0" xfId="1" applyNumberFormat="1" applyFont="1" applyFill="1"/>
    <xf numFmtId="42" fontId="15" fillId="0" borderId="0" xfId="1" applyNumberFormat="1" applyFont="1"/>
    <xf numFmtId="42" fontId="3" fillId="0" borderId="0" xfId="1" applyNumberFormat="1" applyFont="1" applyAlignment="1">
      <alignment horizontal="right"/>
    </xf>
    <xf numFmtId="42" fontId="3" fillId="0" borderId="0" xfId="1" applyNumberFormat="1" applyFont="1" applyAlignment="1">
      <alignment horizontal="center" wrapText="1"/>
    </xf>
    <xf numFmtId="42" fontId="3" fillId="8" borderId="0" xfId="1" applyNumberFormat="1" applyFont="1" applyFill="1"/>
    <xf numFmtId="42" fontId="3" fillId="5" borderId="1" xfId="1" applyNumberFormat="1" applyFont="1" applyFill="1" applyBorder="1"/>
    <xf numFmtId="42" fontId="3" fillId="5" borderId="4" xfId="1" applyNumberFormat="1" applyFont="1" applyFill="1" applyBorder="1"/>
    <xf numFmtId="42" fontId="3" fillId="0" borderId="0" xfId="1" applyNumberFormat="1" applyFont="1" applyFill="1"/>
    <xf numFmtId="42" fontId="3" fillId="0" borderId="3" xfId="1" applyNumberFormat="1" applyFont="1" applyFill="1" applyBorder="1"/>
    <xf numFmtId="42" fontId="3" fillId="3" borderId="2" xfId="1" applyNumberFormat="1" applyFont="1" applyFill="1" applyBorder="1"/>
    <xf numFmtId="42" fontId="3" fillId="3" borderId="5" xfId="1" applyNumberFormat="1" applyFont="1" applyFill="1" applyBorder="1"/>
    <xf numFmtId="42" fontId="3" fillId="0" borderId="2" xfId="1" applyNumberFormat="1" applyFont="1" applyFill="1" applyBorder="1"/>
    <xf numFmtId="42" fontId="3" fillId="0" borderId="5" xfId="1" applyNumberFormat="1" applyFont="1" applyFill="1" applyBorder="1"/>
    <xf numFmtId="42" fontId="3" fillId="0" borderId="0" xfId="0" applyNumberFormat="1" applyFont="1" applyFill="1"/>
    <xf numFmtId="0" fontId="2" fillId="2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0" fontId="3" fillId="0" borderId="3" xfId="0" applyFont="1" applyBorder="1" applyAlignment="1">
      <alignment horizontal="right"/>
    </xf>
    <xf numFmtId="164" fontId="17" fillId="2" borderId="0" xfId="0" applyNumberFormat="1" applyFont="1" applyFill="1" applyAlignment="1">
      <alignment horizontal="center" wrapText="1"/>
    </xf>
    <xf numFmtId="164" fontId="5" fillId="0" borderId="0" xfId="0" applyNumberFormat="1" applyFont="1"/>
    <xf numFmtId="164" fontId="5" fillId="0" borderId="3" xfId="0" applyNumberFormat="1" applyFont="1" applyBorder="1"/>
    <xf numFmtId="164" fontId="18" fillId="2" borderId="0" xfId="1" applyNumberFormat="1" applyFont="1" applyFill="1" applyAlignment="1">
      <alignment horizontal="center"/>
    </xf>
    <xf numFmtId="164" fontId="5" fillId="0" borderId="8" xfId="1" applyNumberFormat="1" applyFont="1" applyBorder="1" applyAlignment="1">
      <alignment horizontal="center" wrapText="1"/>
    </xf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0" xfId="0" applyNumberFormat="1" applyFont="1" applyAlignment="1">
      <alignment horizontal="center" vertical="center"/>
    </xf>
    <xf numFmtId="0" fontId="3" fillId="0" borderId="0" xfId="0" applyNumberFormat="1" applyFont="1"/>
    <xf numFmtId="0" fontId="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/>
    <xf numFmtId="0" fontId="13" fillId="0" borderId="0" xfId="0" applyNumberFormat="1" applyFont="1"/>
    <xf numFmtId="42" fontId="3" fillId="9" borderId="0" xfId="1" applyNumberFormat="1" applyFont="1" applyFill="1"/>
    <xf numFmtId="42" fontId="3" fillId="9" borderId="3" xfId="1" applyNumberFormat="1" applyFont="1" applyFill="1" applyBorder="1"/>
    <xf numFmtId="42" fontId="3" fillId="9" borderId="2" xfId="1" applyNumberFormat="1" applyFont="1" applyFill="1" applyBorder="1"/>
    <xf numFmtId="0" fontId="3" fillId="0" borderId="0" xfId="0" applyFont="1" applyAlignment="1">
      <alignment horizontal="center" wrapText="1"/>
    </xf>
    <xf numFmtId="164" fontId="11" fillId="0" borderId="0" xfId="1" applyNumberFormat="1" applyFont="1" applyFill="1"/>
    <xf numFmtId="0" fontId="3" fillId="0" borderId="0" xfId="0" applyFont="1" applyAlignment="1">
      <alignment horizontal="center"/>
    </xf>
    <xf numFmtId="10" fontId="3" fillId="0" borderId="0" xfId="2" applyNumberFormat="1" applyFont="1"/>
    <xf numFmtId="10" fontId="5" fillId="0" borderId="0" xfId="2" applyNumberFormat="1" applyFont="1"/>
    <xf numFmtId="10" fontId="6" fillId="0" borderId="0" xfId="2" applyNumberFormat="1" applyFont="1" applyAlignment="1">
      <alignment horizontal="center"/>
    </xf>
    <xf numFmtId="10" fontId="6" fillId="0" borderId="0" xfId="2" applyNumberFormat="1" applyFont="1"/>
    <xf numFmtId="10" fontId="10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right"/>
    </xf>
    <xf numFmtId="10" fontId="3" fillId="0" borderId="0" xfId="2" applyNumberFormat="1" applyFont="1" applyFill="1"/>
    <xf numFmtId="10" fontId="3" fillId="10" borderId="0" xfId="2" applyNumberFormat="1" applyFont="1" applyFill="1" applyAlignment="1">
      <alignment horizontal="center" wrapText="1"/>
    </xf>
    <xf numFmtId="10" fontId="3" fillId="0" borderId="0" xfId="2" applyNumberFormat="1" applyFont="1" applyAlignment="1">
      <alignment horizontal="center" vertical="center"/>
    </xf>
    <xf numFmtId="10" fontId="11" fillId="0" borderId="0" xfId="2" applyNumberFormat="1" applyFont="1"/>
    <xf numFmtId="10" fontId="3" fillId="11" borderId="0" xfId="2" applyNumberFormat="1" applyFont="1" applyFill="1"/>
    <xf numFmtId="42" fontId="3" fillId="0" borderId="0" xfId="1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0" fontId="3" fillId="0" borderId="0" xfId="2" applyNumberFormat="1" applyFont="1" applyAlignment="1">
      <alignment horizontal="left"/>
    </xf>
    <xf numFmtId="10" fontId="11" fillId="0" borderId="0" xfId="2" applyNumberFormat="1" applyFont="1" applyAlignment="1">
      <alignment horizontal="right"/>
    </xf>
    <xf numFmtId="164" fontId="3" fillId="10" borderId="0" xfId="2" applyNumberFormat="1" applyFont="1" applyFill="1"/>
    <xf numFmtId="164" fontId="3" fillId="8" borderId="0" xfId="2" applyNumberFormat="1" applyFont="1" applyFill="1"/>
    <xf numFmtId="0" fontId="5" fillId="0" borderId="0" xfId="0" applyFont="1" applyFill="1" applyAlignment="1">
      <alignment horizontal="right"/>
    </xf>
    <xf numFmtId="42" fontId="5" fillId="12" borderId="0" xfId="1" applyNumberFormat="1" applyFont="1" applyFill="1"/>
    <xf numFmtId="42" fontId="3" fillId="12" borderId="0" xfId="1" applyNumberFormat="1" applyFont="1" applyFill="1"/>
    <xf numFmtId="42" fontId="3" fillId="0" borderId="3" xfId="0" applyNumberFormat="1" applyFont="1" applyFill="1" applyBorder="1"/>
    <xf numFmtId="42" fontId="3" fillId="9" borderId="0" xfId="0" applyNumberFormat="1" applyFont="1" applyFill="1"/>
    <xf numFmtId="164" fontId="3" fillId="9" borderId="0" xfId="0" applyNumberFormat="1" applyFont="1" applyFill="1"/>
    <xf numFmtId="164" fontId="3" fillId="10" borderId="0" xfId="1" applyNumberFormat="1" applyFont="1" applyFill="1"/>
    <xf numFmtId="0" fontId="6" fillId="0" borderId="0" xfId="0" applyFont="1"/>
    <xf numFmtId="164" fontId="3" fillId="0" borderId="11" xfId="0" applyNumberFormat="1" applyFont="1" applyBorder="1" applyAlignment="1">
      <alignment horizontal="center" wrapText="1"/>
    </xf>
    <xf numFmtId="164" fontId="3" fillId="0" borderId="13" xfId="0" applyNumberFormat="1" applyFont="1" applyBorder="1"/>
    <xf numFmtId="0" fontId="3" fillId="0" borderId="17" xfId="0" applyFont="1" applyBorder="1" applyAlignment="1">
      <alignment horizontal="center" wrapText="1"/>
    </xf>
    <xf numFmtId="0" fontId="3" fillId="0" borderId="18" xfId="0" applyFont="1" applyBorder="1"/>
    <xf numFmtId="164" fontId="3" fillId="0" borderId="17" xfId="0" applyNumberFormat="1" applyFont="1" applyBorder="1" applyAlignment="1">
      <alignment horizontal="center" wrapText="1"/>
    </xf>
    <xf numFmtId="164" fontId="3" fillId="0" borderId="18" xfId="0" applyNumberFormat="1" applyFont="1" applyBorder="1"/>
    <xf numFmtId="0" fontId="3" fillId="8" borderId="19" xfId="0" applyFont="1" applyFill="1" applyBorder="1"/>
    <xf numFmtId="164" fontId="3" fillId="8" borderId="0" xfId="0" applyNumberFormat="1" applyFont="1" applyFill="1"/>
    <xf numFmtId="0" fontId="3" fillId="8" borderId="0" xfId="0" applyFont="1" applyFill="1" applyAlignment="1">
      <alignment horizontal="right"/>
    </xf>
    <xf numFmtId="164" fontId="3" fillId="8" borderId="15" xfId="0" applyNumberFormat="1" applyFont="1" applyFill="1" applyBorder="1"/>
    <xf numFmtId="164" fontId="3" fillId="8" borderId="19" xfId="0" applyNumberFormat="1" applyFont="1" applyFill="1" applyBorder="1"/>
    <xf numFmtId="164" fontId="3" fillId="8" borderId="20" xfId="0" applyNumberFormat="1" applyFont="1" applyFill="1" applyBorder="1"/>
    <xf numFmtId="42" fontId="3" fillId="8" borderId="20" xfId="1" applyNumberFormat="1" applyFont="1" applyFill="1" applyBorder="1"/>
    <xf numFmtId="10" fontId="5" fillId="5" borderId="18" xfId="2" applyNumberFormat="1" applyFont="1" applyFill="1" applyBorder="1"/>
    <xf numFmtId="164" fontId="15" fillId="13" borderId="0" xfId="0" applyNumberFormat="1" applyFont="1" applyFill="1" applyAlignment="1">
      <alignment horizontal="center" wrapText="1"/>
    </xf>
    <xf numFmtId="42" fontId="15" fillId="13" borderId="0" xfId="1" applyNumberFormat="1" applyFont="1" applyFill="1" applyAlignment="1">
      <alignment horizontal="center" wrapText="1"/>
    </xf>
    <xf numFmtId="164" fontId="12" fillId="13" borderId="17" xfId="0" applyNumberFormat="1" applyFont="1" applyFill="1" applyBorder="1" applyAlignment="1">
      <alignment horizontal="center" wrapText="1"/>
    </xf>
    <xf numFmtId="10" fontId="3" fillId="5" borderId="22" xfId="2" applyNumberFormat="1" applyFont="1" applyFill="1" applyBorder="1"/>
    <xf numFmtId="0" fontId="19" fillId="13" borderId="0" xfId="0" applyFont="1" applyFill="1" applyAlignment="1">
      <alignment horizontal="center" vertical="center" wrapText="1"/>
    </xf>
    <xf numFmtId="0" fontId="3" fillId="8" borderId="21" xfId="0" applyFont="1" applyFill="1" applyBorder="1"/>
    <xf numFmtId="42" fontId="3" fillId="0" borderId="0" xfId="1" applyNumberFormat="1" applyFont="1" applyFill="1" applyAlignment="1">
      <alignment horizontal="center" wrapText="1"/>
    </xf>
    <xf numFmtId="42" fontId="3" fillId="8" borderId="23" xfId="1" applyNumberFormat="1" applyFont="1" applyFill="1" applyBorder="1"/>
    <xf numFmtId="0" fontId="19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wrapText="1"/>
    </xf>
    <xf numFmtId="42" fontId="15" fillId="0" borderId="0" xfId="1" applyNumberFormat="1" applyFont="1" applyFill="1" applyAlignment="1">
      <alignment horizontal="center" wrapText="1"/>
    </xf>
    <xf numFmtId="164" fontId="12" fillId="5" borderId="18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164" fontId="20" fillId="0" borderId="0" xfId="0" applyNumberFormat="1" applyFont="1" applyFill="1" applyAlignment="1">
      <alignment horizontal="center" wrapText="1"/>
    </xf>
    <xf numFmtId="164" fontId="21" fillId="5" borderId="18" xfId="0" applyNumberFormat="1" applyFont="1" applyFill="1" applyBorder="1" applyAlignment="1">
      <alignment horizontal="center" wrapText="1"/>
    </xf>
    <xf numFmtId="42" fontId="20" fillId="0" borderId="0" xfId="1" applyNumberFormat="1" applyFont="1" applyFill="1" applyAlignment="1">
      <alignment horizontal="center" wrapText="1"/>
    </xf>
    <xf numFmtId="164" fontId="20" fillId="0" borderId="0" xfId="0" applyNumberFormat="1" applyFont="1" applyFill="1"/>
    <xf numFmtId="0" fontId="20" fillId="0" borderId="0" xfId="0" applyFont="1" applyFill="1"/>
    <xf numFmtId="10" fontId="21" fillId="5" borderId="18" xfId="2" applyNumberFormat="1" applyFont="1" applyFill="1" applyBorder="1" applyAlignment="1">
      <alignment horizontal="right" wrapText="1"/>
    </xf>
    <xf numFmtId="10" fontId="3" fillId="5" borderId="22" xfId="2" applyNumberFormat="1" applyFont="1" applyFill="1" applyBorder="1" applyAlignment="1">
      <alignment horizontal="right"/>
    </xf>
    <xf numFmtId="164" fontId="20" fillId="8" borderId="20" xfId="0" applyNumberFormat="1" applyFont="1" applyFill="1" applyBorder="1" applyAlignment="1">
      <alignment horizontal="center" wrapText="1"/>
    </xf>
    <xf numFmtId="9" fontId="21" fillId="5" borderId="18" xfId="2" applyFont="1" applyFill="1" applyBorder="1" applyAlignment="1">
      <alignment horizontal="right" wrapText="1"/>
    </xf>
    <xf numFmtId="9" fontId="21" fillId="5" borderId="22" xfId="2" applyFont="1" applyFill="1" applyBorder="1" applyAlignment="1">
      <alignment horizontal="right" wrapText="1"/>
    </xf>
    <xf numFmtId="164" fontId="20" fillId="0" borderId="0" xfId="0" applyNumberFormat="1" applyFont="1"/>
    <xf numFmtId="0" fontId="20" fillId="8" borderId="21" xfId="0" applyFont="1" applyFill="1" applyBorder="1"/>
    <xf numFmtId="164" fontId="21" fillId="5" borderId="22" xfId="0" applyNumberFormat="1" applyFont="1" applyFill="1" applyBorder="1" applyAlignment="1">
      <alignment horizontal="center" wrapText="1"/>
    </xf>
    <xf numFmtId="10" fontId="21" fillId="5" borderId="22" xfId="2" applyNumberFormat="1" applyFont="1" applyFill="1" applyBorder="1" applyAlignment="1">
      <alignment horizontal="right" wrapText="1"/>
    </xf>
    <xf numFmtId="42" fontId="20" fillId="0" borderId="0" xfId="1" applyNumberFormat="1" applyFont="1" applyFill="1"/>
    <xf numFmtId="0" fontId="22" fillId="0" borderId="0" xfId="0" applyFont="1" applyFill="1" applyAlignment="1">
      <alignment horizontal="center" vertical="center" wrapText="1"/>
    </xf>
    <xf numFmtId="0" fontId="3" fillId="2" borderId="0" xfId="0" applyFont="1" applyFill="1"/>
    <xf numFmtId="44" fontId="4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3" fillId="0" borderId="0" xfId="1" applyNumberFormat="1" applyFont="1" applyFill="1" applyBorder="1"/>
    <xf numFmtId="164" fontId="3" fillId="3" borderId="0" xfId="1" applyNumberFormat="1" applyFont="1" applyFill="1"/>
    <xf numFmtId="164" fontId="3" fillId="0" borderId="0" xfId="1" applyNumberFormat="1" applyFont="1" applyFill="1"/>
    <xf numFmtId="164" fontId="3" fillId="4" borderId="1" xfId="1" applyNumberFormat="1" applyFont="1" applyFill="1" applyBorder="1"/>
    <xf numFmtId="164" fontId="3" fillId="5" borderId="0" xfId="1" applyNumberFormat="1" applyFont="1" applyFill="1"/>
    <xf numFmtId="164" fontId="3" fillId="4" borderId="0" xfId="1" applyNumberFormat="1" applyFont="1" applyFill="1"/>
    <xf numFmtId="164" fontId="3" fillId="5" borderId="2" xfId="1" applyNumberFormat="1" applyFont="1" applyFill="1" applyBorder="1"/>
    <xf numFmtId="164" fontId="3" fillId="6" borderId="0" xfId="1" applyNumberFormat="1" applyFont="1" applyFill="1"/>
    <xf numFmtId="164" fontId="3" fillId="14" borderId="0" xfId="1" applyNumberFormat="1" applyFont="1" applyFill="1"/>
    <xf numFmtId="164" fontId="3" fillId="14" borderId="2" xfId="1" applyNumberFormat="1" applyFont="1" applyFill="1" applyBorder="1"/>
    <xf numFmtId="44" fontId="3" fillId="0" borderId="0" xfId="1" applyFont="1" applyFill="1"/>
    <xf numFmtId="164" fontId="3" fillId="0" borderId="3" xfId="1" applyNumberFormat="1" applyFont="1" applyBorder="1"/>
    <xf numFmtId="164" fontId="3" fillId="3" borderId="3" xfId="1" applyNumberFormat="1" applyFont="1" applyFill="1" applyBorder="1"/>
    <xf numFmtId="164" fontId="3" fillId="0" borderId="3" xfId="1" applyNumberFormat="1" applyFont="1" applyFill="1" applyBorder="1"/>
    <xf numFmtId="164" fontId="3" fillId="4" borderId="4" xfId="1" applyNumberFormat="1" applyFont="1" applyFill="1" applyBorder="1"/>
    <xf numFmtId="164" fontId="3" fillId="5" borderId="3" xfId="1" applyNumberFormat="1" applyFont="1" applyFill="1" applyBorder="1"/>
    <xf numFmtId="164" fontId="3" fillId="4" borderId="3" xfId="1" applyNumberFormat="1" applyFont="1" applyFill="1" applyBorder="1"/>
    <xf numFmtId="164" fontId="3" fillId="5" borderId="5" xfId="1" applyNumberFormat="1" applyFont="1" applyFill="1" applyBorder="1"/>
    <xf numFmtId="164" fontId="3" fillId="6" borderId="3" xfId="1" applyNumberFormat="1" applyFont="1" applyFill="1" applyBorder="1"/>
    <xf numFmtId="164" fontId="3" fillId="14" borderId="3" xfId="1" applyNumberFormat="1" applyFont="1" applyFill="1" applyBorder="1"/>
    <xf numFmtId="164" fontId="3" fillId="14" borderId="5" xfId="1" applyNumberFormat="1" applyFont="1" applyFill="1" applyBorder="1"/>
    <xf numFmtId="44" fontId="3" fillId="0" borderId="3" xfId="1" applyFont="1" applyFill="1" applyBorder="1"/>
    <xf numFmtId="164" fontId="5" fillId="0" borderId="0" xfId="1" applyNumberFormat="1" applyFont="1" applyFill="1" applyBorder="1"/>
    <xf numFmtId="164" fontId="5" fillId="7" borderId="1" xfId="1" applyNumberFormat="1" applyFont="1" applyFill="1" applyBorder="1"/>
    <xf numFmtId="164" fontId="5" fillId="7" borderId="2" xfId="1" applyNumberFormat="1" applyFont="1" applyFill="1" applyBorder="1"/>
    <xf numFmtId="44" fontId="5" fillId="7" borderId="0" xfId="1" applyFont="1" applyFill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44" fontId="2" fillId="2" borderId="0" xfId="1" applyFont="1" applyFill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164" fontId="9" fillId="0" borderId="0" xfId="1" applyNumberFormat="1" applyFont="1" applyFill="1" applyBorder="1"/>
    <xf numFmtId="0" fontId="9" fillId="0" borderId="14" xfId="0" applyFont="1" applyBorder="1" applyAlignment="1">
      <alignment horizontal="center"/>
    </xf>
    <xf numFmtId="164" fontId="9" fillId="0" borderId="3" xfId="1" applyNumberFormat="1" applyFont="1" applyBorder="1"/>
    <xf numFmtId="0" fontId="9" fillId="0" borderId="14" xfId="0" applyFont="1" applyBorder="1"/>
    <xf numFmtId="164" fontId="9" fillId="0" borderId="0" xfId="1" applyNumberFormat="1" applyFont="1" applyBorder="1"/>
    <xf numFmtId="164" fontId="3" fillId="0" borderId="0" xfId="1" applyNumberFormat="1" applyFont="1" applyFill="1" applyAlignment="1">
      <alignment horizontal="center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12" fillId="2" borderId="1" xfId="1" applyNumberFormat="1" applyFont="1" applyFill="1" applyBorder="1"/>
    <xf numFmtId="164" fontId="12" fillId="2" borderId="2" xfId="1" applyNumberFormat="1" applyFont="1" applyFill="1" applyBorder="1"/>
    <xf numFmtId="44" fontId="12" fillId="2" borderId="0" xfId="1" applyFont="1" applyFill="1"/>
    <xf numFmtId="0" fontId="13" fillId="0" borderId="14" xfId="0" applyFont="1" applyBorder="1"/>
    <xf numFmtId="0" fontId="5" fillId="0" borderId="13" xfId="0" applyFont="1" applyBorder="1"/>
    <xf numFmtId="0" fontId="14" fillId="0" borderId="1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44" fontId="3" fillId="0" borderId="0" xfId="1" applyFont="1" applyFill="1" applyBorder="1"/>
    <xf numFmtId="164" fontId="3" fillId="3" borderId="0" xfId="0" applyNumberFormat="1" applyFont="1" applyFill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164" fontId="11" fillId="0" borderId="0" xfId="1" applyNumberFormat="1" applyFont="1" applyBorder="1"/>
    <xf numFmtId="44" fontId="3" fillId="0" borderId="0" xfId="1" applyFont="1" applyBorder="1"/>
    <xf numFmtId="0" fontId="3" fillId="15" borderId="0" xfId="0" applyFont="1" applyFill="1"/>
    <xf numFmtId="164" fontId="11" fillId="15" borderId="0" xfId="1" applyNumberFormat="1" applyFont="1" applyFill="1" applyBorder="1"/>
    <xf numFmtId="0" fontId="5" fillId="15" borderId="0" xfId="0" applyFont="1" applyFill="1"/>
    <xf numFmtId="164" fontId="3" fillId="4" borderId="1" xfId="0" applyNumberFormat="1" applyFont="1" applyFill="1" applyBorder="1"/>
    <xf numFmtId="164" fontId="3" fillId="5" borderId="0" xfId="0" applyNumberFormat="1" applyFont="1" applyFill="1"/>
    <xf numFmtId="164" fontId="3" fillId="4" borderId="0" xfId="0" applyNumberFormat="1" applyFont="1" applyFill="1"/>
    <xf numFmtId="164" fontId="3" fillId="5" borderId="2" xfId="0" applyNumberFormat="1" applyFont="1" applyFill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3" fillId="3" borderId="0" xfId="1" applyNumberFormat="1" applyFont="1" applyFill="1" applyBorder="1"/>
    <xf numFmtId="164" fontId="3" fillId="5" borderId="0" xfId="1" applyNumberFormat="1" applyFont="1" applyFill="1" applyBorder="1"/>
    <xf numFmtId="164" fontId="3" fillId="4" borderId="0" xfId="1" applyNumberFormat="1" applyFont="1" applyFill="1" applyBorder="1"/>
    <xf numFmtId="164" fontId="3" fillId="6" borderId="0" xfId="1" applyNumberFormat="1" applyFont="1" applyFill="1" applyBorder="1"/>
    <xf numFmtId="164" fontId="3" fillId="14" borderId="0" xfId="1" applyNumberFormat="1" applyFont="1" applyFill="1" applyBorder="1"/>
    <xf numFmtId="44" fontId="11" fillId="0" borderId="0" xfId="1" applyFont="1"/>
    <xf numFmtId="164" fontId="15" fillId="2" borderId="0" xfId="1" applyNumberFormat="1" applyFont="1" applyFill="1"/>
    <xf numFmtId="164" fontId="15" fillId="0" borderId="0" xfId="1" applyNumberFormat="1" applyFont="1" applyFill="1" applyBorder="1"/>
    <xf numFmtId="44" fontId="15" fillId="2" borderId="0" xfId="1" applyFont="1" applyFill="1"/>
    <xf numFmtId="0" fontId="7" fillId="0" borderId="0" xfId="0" applyFont="1" applyAlignment="1">
      <alignment horizontal="center" wrapText="1"/>
    </xf>
    <xf numFmtId="44" fontId="3" fillId="0" borderId="3" xfId="1" applyFont="1" applyBorder="1"/>
    <xf numFmtId="44" fontId="11" fillId="0" borderId="0" xfId="1" applyFont="1" applyFill="1" applyBorder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Fill="1" applyBorder="1" applyAlignment="1">
      <alignment horizontal="center" wrapText="1"/>
    </xf>
    <xf numFmtId="44" fontId="3" fillId="0" borderId="0" xfId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9" fontId="3" fillId="0" borderId="0" xfId="2" applyFont="1"/>
    <xf numFmtId="164" fontId="3" fillId="0" borderId="0" xfId="0" applyNumberFormat="1" applyFont="1" applyAlignment="1">
      <alignment horizontal="right"/>
    </xf>
    <xf numFmtId="9" fontId="5" fillId="0" borderId="0" xfId="2" applyFont="1"/>
    <xf numFmtId="0" fontId="5" fillId="10" borderId="0" xfId="0" applyFont="1" applyFill="1" applyAlignment="1">
      <alignment horizontal="right"/>
    </xf>
    <xf numFmtId="164" fontId="5" fillId="10" borderId="0" xfId="1" applyNumberFormat="1" applyFont="1" applyFill="1"/>
    <xf numFmtId="9" fontId="5" fillId="10" borderId="0" xfId="2" applyFont="1" applyFill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1" applyNumberFormat="1" applyFont="1"/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2" fontId="3" fillId="0" borderId="0" xfId="1" applyNumberFormat="1" applyFont="1" applyFill="1" applyBorder="1"/>
    <xf numFmtId="42" fontId="5" fillId="7" borderId="0" xfId="1" applyNumberFormat="1" applyFont="1" applyFill="1" applyBorder="1"/>
    <xf numFmtId="42" fontId="2" fillId="2" borderId="0" xfId="1" applyNumberFormat="1" applyFont="1" applyFill="1" applyBorder="1" applyAlignment="1">
      <alignment horizontal="center"/>
    </xf>
    <xf numFmtId="42" fontId="12" fillId="2" borderId="0" xfId="1" applyNumberFormat="1" applyFont="1" applyFill="1" applyBorder="1"/>
    <xf numFmtId="42" fontId="3" fillId="9" borderId="0" xfId="1" applyNumberFormat="1" applyFont="1" applyFill="1" applyBorder="1"/>
    <xf numFmtId="164" fontId="3" fillId="11" borderId="0" xfId="0" applyNumberFormat="1" applyFont="1" applyFill="1"/>
    <xf numFmtId="42" fontId="3" fillId="11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2" fontId="5" fillId="10" borderId="0" xfId="1" applyNumberFormat="1" applyFont="1" applyFill="1"/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2" borderId="6" xfId="0" applyFont="1" applyFill="1" applyBorder="1" applyAlignment="1">
      <alignment horizontal="right" wrapText="1"/>
    </xf>
    <xf numFmtId="164" fontId="5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auto="1"/>
      </font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6969"/>
        </patternFill>
      </fill>
    </dxf>
  </dxfs>
  <tableStyles count="0" defaultTableStyle="TableStyleMedium2" defaultPivotStyle="PivotStyleLight16"/>
  <colors>
    <mruColors>
      <color rgb="FFD5B8E2"/>
      <color rgb="FFFF6969"/>
      <color rgb="FF1E384B"/>
      <color rgb="FFDDC5F1"/>
      <color rgb="FFF6D1FF"/>
      <color rgb="FFD7B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IG\Budget%20and%20Forecast\CRL%202003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\DATA\Econocom\CLIENTS\MIDLOTHI\FY2002RS\Mid%20Cash%20Model%20FY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8-12-08\Budget\DCTA%202008%202009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%20AND%20ADMINISTRATION\Budget%20Files\DCTA%20Budget%202005.2006\DTCA%202005.2006%20Budget%20Pres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TA%20Budget%202005.2006\DTCA%202005.2006%20Budget%20Pres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Import"/>
      <sheetName val="Summary For Business Plan"/>
      <sheetName val="Bud to YEO Summary"/>
      <sheetName val="RRStats"/>
      <sheetName val="Budget"/>
      <sheetName val="Revenue Summary"/>
      <sheetName val="Freight&amp;SwitchRev"/>
      <sheetName val="SpecialFreight&amp;Switch"/>
      <sheetName val="CarStorageRevenue"/>
      <sheetName val="LandLeaseRevenue"/>
      <sheetName val="DemurrageRevenue"/>
      <sheetName val="CarHireRevenue"/>
      <sheetName val="AARCarRepairsRevenue"/>
      <sheetName val="OtherContractRev"/>
      <sheetName val="OtherContractRevIC"/>
      <sheetName val="MOW Labor"/>
      <sheetName val="MOE Labor"/>
      <sheetName val="AAR_Other Labor"/>
      <sheetName val="Transportation Labor"/>
      <sheetName val="Bedford Park Labor"/>
      <sheetName val="Canal St Labor"/>
      <sheetName val="IMX Labor"/>
      <sheetName val="G&amp;A Labor"/>
      <sheetName val="MOW Expenses"/>
      <sheetName val="Transportation Expenses"/>
      <sheetName val="Insur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BUDGET:  2003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est Year 1"/>
      <sheetName val="Test Year 2"/>
      <sheetName val="Test Year 3"/>
      <sheetName val="Test Year 4"/>
      <sheetName val="Test Year 5"/>
      <sheetName val="Test Year 6"/>
      <sheetName val="Test Year 7"/>
      <sheetName val="Test Year 8"/>
      <sheetName val="Test Year 9"/>
      <sheetName val="Test Year 10"/>
      <sheetName val="Test Year 11"/>
      <sheetName val="Forecast 1"/>
      <sheetName val="Forecast 2"/>
      <sheetName val="Forecast 3"/>
      <sheetName val="Forecast 4"/>
      <sheetName val="Forecast 5"/>
      <sheetName val="Forecast 6"/>
      <sheetName val="Forecast 7"/>
      <sheetName val="Forecast 8"/>
      <sheetName val="Forecast 9"/>
      <sheetName val="Forecast 10"/>
      <sheetName val="Forecast 11"/>
      <sheetName val="Forecast 12"/>
      <sheetName val="Volume Input"/>
      <sheetName val="Budget Input"/>
      <sheetName val="Capital Input"/>
      <sheetName val="Loan Input"/>
      <sheetName val="Alternate Rate Input"/>
      <sheetName val="Factor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L24">
            <v>259559200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inum Import"/>
      <sheetName val="maindata"/>
      <sheetName val="Comments"/>
      <sheetName val="09 FTE by Dept"/>
      <sheetName val="FY 2009 Ridership Cond"/>
      <sheetName val="Summary for Notes"/>
      <sheetName val="09 Revenue"/>
      <sheetName val="09 Oprtg Exp"/>
      <sheetName val="09 Other Exp Chart"/>
      <sheetName val="Div_Summ Chart"/>
      <sheetName val="G&amp;A Support Services"/>
      <sheetName val="Departmental Breakdowns"/>
      <sheetName val="Rail Services"/>
      <sheetName val="Bus Services"/>
      <sheetName val="UNT STATS"/>
      <sheetName val="Commuter Stats"/>
      <sheetName val="Access Stats"/>
      <sheetName val="Connect stats"/>
      <sheetName val="2009 Capital Budget (2)"/>
      <sheetName val="2009 Capital Budget"/>
      <sheetName val="09 ST Rev"/>
      <sheetName val="Change in Actual Net Assets "/>
      <sheetName val="TMDC 2009 Depreciation"/>
      <sheetName val="DCTA 2009 Depreciation"/>
      <sheetName val="RAIL 2009 BUDGET"/>
      <sheetName val="TMDC 2009 BUDGET"/>
      <sheetName val="DCTA 2009 BUDGET"/>
      <sheetName val="DCTA 08 FORECAST"/>
      <sheetName val="TMDC 08 FORECAST"/>
      <sheetName val="DCTA AMENDED BUDGET 08"/>
      <sheetName val="TMDC AMENDED BUDGET 08"/>
      <sheetName val="DCTA FY 07 ACTUALS"/>
      <sheetName val="TMDC FY 07 ACTUALS"/>
      <sheetName val="2009 Budget  Div_Summ by Dept"/>
      <sheetName val="2008 Forecast  Div_Summ Dept"/>
      <sheetName val="2008 Amend Bud  Div Summ Dept"/>
      <sheetName val="2007 Actual  Div Summ Dept"/>
      <sheetName val="2009 Budget  Div_Summ"/>
      <sheetName val="2008 Forecast Div_Summ"/>
      <sheetName val="2008 Amend Bud Div_Summ"/>
      <sheetName val="2007 Actuals Div_Summ "/>
      <sheetName val=" Operations"/>
      <sheetName val="09 TMDC FTE"/>
      <sheetName val="Summary "/>
      <sheetName val="2009 Revenue Budget"/>
      <sheetName val="DCTA 09 Salary and Wages"/>
      <sheetName val="09 TMDC Salary and Wages "/>
      <sheetName val="50 G&amp;A"/>
      <sheetName val="51 Connect"/>
      <sheetName val="52 UNT "/>
      <sheetName val="53 Access"/>
      <sheetName val="54 Comm . Exp."/>
      <sheetName val="56 Maint."/>
      <sheetName val="57 Supv "/>
      <sheetName val="60 COO-RAIL "/>
      <sheetName val="61 VP PM"/>
      <sheetName val="80 President &amp; 84 BOD "/>
      <sheetName val="81 CFO "/>
      <sheetName val="85 C&amp;M"/>
      <sheetName val="86 DIR BUS OPS"/>
      <sheetName val="87 DPS"/>
      <sheetName val="88 HR"/>
      <sheetName val="Chart"/>
      <sheetName val="QB CIG Chart"/>
      <sheetName val="2004 Actuals"/>
      <sheetName val="Instructions(1)"/>
      <sheetName val="Instructions(2) "/>
      <sheetName val="MOW Labor"/>
      <sheetName val="MOE Labor"/>
      <sheetName val="AAR_Other Labor"/>
      <sheetName val="Transportation Labor"/>
      <sheetName val="G&amp;A Labor"/>
      <sheetName val="MOW Expenses"/>
      <sheetName val="Transportation Expenses"/>
      <sheetName val="CapitalExpenditures(1)"/>
      <sheetName val="CapitalExpenditures(2)"/>
      <sheetName val="CarHire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inum Import"/>
      <sheetName val="maindata"/>
      <sheetName val="Comments"/>
      <sheetName val="Change in Actual Net Assets"/>
      <sheetName val="Capital Budget by Month"/>
      <sheetName val="Budget"/>
      <sheetName val="GAAP Budget Sch"/>
      <sheetName val="Summary"/>
      <sheetName val="Revenue Chart"/>
      <sheetName val="Oprtg Exp Chart"/>
      <sheetName val="Other Exp Chart"/>
      <sheetName val="Div_Summ Chart"/>
      <sheetName val="G&amp;A ED Chart"/>
      <sheetName val="F&amp;A Chart"/>
      <sheetName val="Prog_Devlp Chart"/>
      <sheetName val="Operations Chart"/>
      <sheetName val="Proj_Mgt Chart"/>
      <sheetName val="Capital Budget Chart"/>
      <sheetName val="2006 Div_Summ"/>
      <sheetName val="2005 Div_Summ"/>
      <sheetName val="2005 bud Div_Summ"/>
      <sheetName val="Operations"/>
      <sheetName val="G&amp;A ED"/>
      <sheetName val="F&amp;A"/>
      <sheetName val="Prog_Devlp"/>
      <sheetName val="Proj_Mgt"/>
      <sheetName val="ST Rev"/>
      <sheetName val="Farebox Rev"/>
      <sheetName val="Denton - UNT Expense"/>
      <sheetName val="Int Inc-Exp"/>
      <sheetName val="POS Rev"/>
      <sheetName val="Salary and Wages"/>
      <sheetName val="S&amp;W Var"/>
      <sheetName val="Salary Forecast"/>
      <sheetName val="McDonald"/>
      <sheetName val="TLH 05 Forecast"/>
      <sheetName val="Interest Income"/>
      <sheetName val="FY 2006 Chart"/>
      <sheetName val="FY04 Ridership"/>
      <sheetName val="FY05 Ridership"/>
      <sheetName val="FY06 Estimates"/>
      <sheetName val="Lewisville Assets"/>
      <sheetName val="DCTA 06 Equipment Depr"/>
      <sheetName val="DCTA 06 Office Equipment Depr"/>
      <sheetName val="DTCA Depr Sch"/>
      <sheetName val="2005 Budget revisions"/>
      <sheetName val="Denton FA"/>
      <sheetName val="Denton Shelter locations"/>
      <sheetName val="BS"/>
      <sheetName val="IS"/>
      <sheetName val="Net Assets"/>
      <sheetName val="Capital Budget by Dept"/>
      <sheetName val="CS Cap Recon"/>
      <sheetName val="FY05 Grant Use"/>
      <sheetName val="Stmts Rev,Exp, Assets"/>
      <sheetName val="Stmt Cash Flows"/>
      <sheetName val="Stmt Cash Flows Pg 2"/>
      <sheetName val="Medical and Dental"/>
      <sheetName val="Change in Budget Net Assets"/>
      <sheetName val="Summary Chart"/>
      <sheetName val="Chart"/>
      <sheetName val="QB CIG Chart"/>
      <sheetName val="2004 Actuals"/>
      <sheetName val="Instructions(1)"/>
      <sheetName val="Instructions(2) "/>
      <sheetName val="MOW Labor"/>
      <sheetName val="MOE Labor"/>
      <sheetName val="AAR_Other Labor"/>
      <sheetName val="Transportation Labor"/>
      <sheetName val="G&amp;A Labor"/>
      <sheetName val="MOW Expenses"/>
      <sheetName val="Transportation Expenses"/>
      <sheetName val="CapitalExpenditures(1)"/>
      <sheetName val="CapitalExpenditures(2)"/>
      <sheetName val="CarHire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inum Import"/>
      <sheetName val="maindata"/>
      <sheetName val="Comments"/>
      <sheetName val="Change in Actual Net Assets"/>
      <sheetName val="Capital Budget by Month"/>
      <sheetName val="Budget"/>
      <sheetName val="GAAP Budget Sch"/>
      <sheetName val="Summary"/>
      <sheetName val="Revenue Chart"/>
      <sheetName val="Oprtg Exp Chart"/>
      <sheetName val="Other Exp Chart"/>
      <sheetName val="Div_Summ Chart"/>
      <sheetName val="G&amp;A ED Chart"/>
      <sheetName val="F&amp;A Chart"/>
      <sheetName val="Prog_Devlp Chart"/>
      <sheetName val="Operations Chart"/>
      <sheetName val="Proj_Mgt Chart"/>
      <sheetName val="Capital Budget Chart"/>
      <sheetName val="2006 Div_Summ"/>
      <sheetName val="2005 Div_Summ"/>
      <sheetName val="2005 bud Div_Summ"/>
      <sheetName val="Operations"/>
      <sheetName val="G&amp;A ED"/>
      <sheetName val="F&amp;A"/>
      <sheetName val="Prog_Devlp"/>
      <sheetName val="Proj_Mgt"/>
      <sheetName val="ST Rev"/>
      <sheetName val="Farebox Rev"/>
      <sheetName val="Denton - UNT Expense"/>
      <sheetName val="Int Inc-Exp"/>
      <sheetName val="POS Rev"/>
      <sheetName val="Salary and Wages"/>
      <sheetName val="S&amp;W Var"/>
      <sheetName val="Salary Forecast"/>
      <sheetName val="McDonald"/>
      <sheetName val="TLH 05 Forecast"/>
      <sheetName val="Interest Income"/>
      <sheetName val="FY 2006 Chart"/>
      <sheetName val="FY04 Ridership"/>
      <sheetName val="FY05 Ridership"/>
      <sheetName val="FY06 Estimates"/>
      <sheetName val="Lewisville Assets"/>
      <sheetName val="DCTA 06 Equipment Depr"/>
      <sheetName val="DCTA 06 Office Equipment Depr"/>
      <sheetName val="DTCA Depr Sch"/>
      <sheetName val="2005 Budget revisions"/>
      <sheetName val="Denton FA"/>
      <sheetName val="Denton Shelter locations"/>
      <sheetName val="BS"/>
      <sheetName val="IS"/>
      <sheetName val="Net Assets"/>
      <sheetName val="Capital Budget by Dept"/>
      <sheetName val="CS Cap Recon"/>
      <sheetName val="FY05 Grant Use"/>
      <sheetName val="Stmts Rev,Exp, Assets"/>
      <sheetName val="Stmt Cash Flows"/>
      <sheetName val="Stmt Cash Flows Pg 2"/>
      <sheetName val="Medical and Dental"/>
      <sheetName val="Change in Budget Net Assets"/>
      <sheetName val="Summary Chart"/>
      <sheetName val="Chart"/>
      <sheetName val="QB CIG Chart"/>
      <sheetName val="2004 Actuals"/>
      <sheetName val="Instructions(1)"/>
      <sheetName val="Instructions(2) "/>
      <sheetName val="MOW Labor"/>
      <sheetName val="MOE Labor"/>
      <sheetName val="AAR_Other Labor"/>
      <sheetName val="Transportation Labor"/>
      <sheetName val="G&amp;A Labor"/>
      <sheetName val="MOW Expenses"/>
      <sheetName val="Transportation Expenses"/>
      <sheetName val="CapitalExpenditures(1)"/>
      <sheetName val="CapitalExpenditures(2)"/>
      <sheetName val="CarHire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5A6F-FC45-4D9C-BDBA-4685C78E60A6}">
  <dimension ref="A1:BV134"/>
  <sheetViews>
    <sheetView zoomScaleNormal="100" zoomScaleSheetLayoutView="75" workbookViewId="0">
      <pane xSplit="2" ySplit="1" topLeftCell="AR95" activePane="bottomRight" state="frozen"/>
      <selection activeCell="G10" sqref="G10"/>
      <selection pane="topRight" activeCell="G10" sqref="G10"/>
      <selection pane="bottomLeft" activeCell="G10" sqref="G10"/>
      <selection pane="bottomRight" activeCell="BU117" sqref="BU117"/>
    </sheetView>
  </sheetViews>
  <sheetFormatPr defaultColWidth="8.6640625" defaultRowHeight="13.2" x14ac:dyDescent="0.25"/>
  <cols>
    <col min="1" max="1" width="6.5546875" style="142" customWidth="1"/>
    <col min="2" max="2" width="33" style="5" customWidth="1"/>
    <col min="3" max="3" width="9.5546875" style="8" customWidth="1"/>
    <col min="4" max="4" width="14.6640625" style="8" customWidth="1"/>
    <col min="5" max="5" width="10.6640625" style="8" customWidth="1"/>
    <col min="6" max="6" width="12.6640625" style="8" customWidth="1"/>
    <col min="7" max="7" width="11.6640625" style="8" customWidth="1"/>
    <col min="8" max="8" width="13.6640625" style="8" customWidth="1"/>
    <col min="9" max="9" width="12.44140625" style="8" customWidth="1"/>
    <col min="10" max="10" width="11.6640625" style="8" customWidth="1"/>
    <col min="11" max="11" width="12.5546875" style="8" customWidth="1"/>
    <col min="12" max="12" width="11.33203125" style="8" customWidth="1"/>
    <col min="13" max="13" width="1.6640625" style="8" customWidth="1"/>
    <col min="14" max="15" width="13" style="8" customWidth="1"/>
    <col min="16" max="17" width="11.33203125" style="8" customWidth="1"/>
    <col min="18" max="19" width="12.6640625" style="8" customWidth="1"/>
    <col min="20" max="22" width="13.5546875" style="8" customWidth="1"/>
    <col min="23" max="23" width="13.5546875" style="8" hidden="1" customWidth="1"/>
    <col min="24" max="25" width="13.33203125" style="8" customWidth="1"/>
    <col min="26" max="26" width="14.6640625" style="8" customWidth="1"/>
    <col min="27" max="33" width="13" style="8" customWidth="1"/>
    <col min="34" max="37" width="11.33203125" style="8" customWidth="1"/>
    <col min="38" max="39" width="12.33203125" style="8" customWidth="1"/>
    <col min="40" max="43" width="11.33203125" style="8" customWidth="1"/>
    <col min="44" max="45" width="12.33203125" style="8" customWidth="1"/>
    <col min="46" max="47" width="11.33203125" style="8" customWidth="1"/>
    <col min="48" max="48" width="14.5546875" style="8" customWidth="1"/>
    <col min="49" max="49" width="14.6640625" style="8" customWidth="1"/>
    <col min="50" max="50" width="15" style="17" bestFit="1" customWidth="1"/>
    <col min="51" max="51" width="1.6640625" style="8" customWidth="1"/>
    <col min="52" max="52" width="12.44140625" style="8" customWidth="1"/>
    <col min="53" max="53" width="1.6640625" style="8" customWidth="1"/>
    <col min="54" max="54" width="12.6640625" style="8" bestFit="1" customWidth="1"/>
    <col min="55" max="55" width="13.44140625" style="8" customWidth="1"/>
    <col min="56" max="56" width="9.33203125" style="5" customWidth="1"/>
    <col min="57" max="57" width="12.44140625" style="5" hidden="1" customWidth="1"/>
    <col min="58" max="58" width="18.33203125" style="5" hidden="1" customWidth="1"/>
    <col min="59" max="59" width="11.44140625" style="5" hidden="1" customWidth="1"/>
    <col min="60" max="60" width="13.6640625" style="5" hidden="1" customWidth="1"/>
    <col min="61" max="61" width="34.6640625" style="5" hidden="1" customWidth="1"/>
    <col min="62" max="62" width="13.6640625" style="5" hidden="1" customWidth="1"/>
    <col min="63" max="63" width="20.5546875" style="5" hidden="1" customWidth="1"/>
    <col min="64" max="65" width="15.6640625" style="5" hidden="1" customWidth="1"/>
    <col min="66" max="66" width="16.6640625" style="5" hidden="1" customWidth="1"/>
    <col min="67" max="67" width="20.44140625" style="5" hidden="1" customWidth="1"/>
    <col min="68" max="68" width="2.33203125" style="5" customWidth="1"/>
    <col min="69" max="70" width="11.33203125" style="5" bestFit="1" customWidth="1"/>
    <col min="71" max="73" width="12.33203125" style="5" bestFit="1" customWidth="1"/>
    <col min="74" max="16384" width="8.6640625" style="5"/>
  </cols>
  <sheetData>
    <row r="1" spans="1:67" ht="72" x14ac:dyDescent="0.25">
      <c r="A1" s="1"/>
      <c r="B1" s="212"/>
      <c r="C1" s="2" t="s">
        <v>262</v>
      </c>
      <c r="D1" s="2" t="s">
        <v>263</v>
      </c>
      <c r="E1" s="2" t="s">
        <v>264</v>
      </c>
      <c r="F1" s="2" t="s">
        <v>265</v>
      </c>
      <c r="G1" s="2" t="s">
        <v>266</v>
      </c>
      <c r="H1" s="2" t="s">
        <v>267</v>
      </c>
      <c r="I1" s="2" t="s">
        <v>268</v>
      </c>
      <c r="J1" s="2" t="s">
        <v>269</v>
      </c>
      <c r="K1" s="2" t="s">
        <v>270</v>
      </c>
      <c r="L1" s="2" t="s">
        <v>271</v>
      </c>
      <c r="M1" s="3"/>
      <c r="N1" s="2" t="s">
        <v>272</v>
      </c>
      <c r="O1" s="2" t="s">
        <v>273</v>
      </c>
      <c r="P1" s="2" t="s">
        <v>274</v>
      </c>
      <c r="Q1" s="2" t="s">
        <v>275</v>
      </c>
      <c r="R1" s="2" t="s">
        <v>276</v>
      </c>
      <c r="S1" s="2" t="s">
        <v>277</v>
      </c>
      <c r="T1" s="2" t="s">
        <v>278</v>
      </c>
      <c r="U1" s="2" t="s">
        <v>279</v>
      </c>
      <c r="V1" s="2" t="s">
        <v>280</v>
      </c>
      <c r="W1" s="2" t="s">
        <v>353</v>
      </c>
      <c r="X1" s="2" t="s">
        <v>281</v>
      </c>
      <c r="Y1" s="2" t="s">
        <v>282</v>
      </c>
      <c r="Z1" s="2" t="s">
        <v>283</v>
      </c>
      <c r="AA1" s="2" t="s">
        <v>284</v>
      </c>
      <c r="AB1" s="2" t="s">
        <v>285</v>
      </c>
      <c r="AC1" s="2" t="s">
        <v>286</v>
      </c>
      <c r="AD1" s="2" t="s">
        <v>287</v>
      </c>
      <c r="AE1" s="2" t="s">
        <v>288</v>
      </c>
      <c r="AF1" s="2" t="s">
        <v>289</v>
      </c>
      <c r="AG1" s="2" t="s">
        <v>290</v>
      </c>
      <c r="AH1" s="2" t="s">
        <v>291</v>
      </c>
      <c r="AI1" s="2" t="s">
        <v>292</v>
      </c>
      <c r="AJ1" s="2" t="s">
        <v>293</v>
      </c>
      <c r="AK1" s="2" t="s">
        <v>294</v>
      </c>
      <c r="AL1" s="2" t="s">
        <v>295</v>
      </c>
      <c r="AM1" s="2" t="s">
        <v>296</v>
      </c>
      <c r="AN1" s="2" t="s">
        <v>297</v>
      </c>
      <c r="AO1" s="2" t="s">
        <v>298</v>
      </c>
      <c r="AP1" s="2" t="s">
        <v>299</v>
      </c>
      <c r="AQ1" s="2" t="s">
        <v>300</v>
      </c>
      <c r="AR1" s="2" t="s">
        <v>301</v>
      </c>
      <c r="AS1" s="2" t="s">
        <v>302</v>
      </c>
      <c r="AT1" s="2" t="s">
        <v>303</v>
      </c>
      <c r="AU1" s="2" t="s">
        <v>304</v>
      </c>
      <c r="AV1" s="2" t="s">
        <v>305</v>
      </c>
      <c r="AW1" s="2" t="s">
        <v>306</v>
      </c>
      <c r="AX1" s="213" t="s">
        <v>307</v>
      </c>
      <c r="AY1" s="3"/>
      <c r="AZ1" s="2" t="s">
        <v>308</v>
      </c>
      <c r="BA1" s="3"/>
      <c r="BB1" s="2" t="s">
        <v>309</v>
      </c>
      <c r="BC1" s="214"/>
    </row>
    <row r="2" spans="1:67" x14ac:dyDescent="0.25">
      <c r="A2" s="142">
        <v>40100</v>
      </c>
      <c r="B2" s="142" t="s">
        <v>310</v>
      </c>
      <c r="C2" s="7"/>
      <c r="D2" s="7"/>
      <c r="E2" s="7"/>
      <c r="F2" s="7"/>
      <c r="G2" s="7"/>
      <c r="H2" s="7"/>
      <c r="I2" s="7"/>
      <c r="J2" s="7"/>
      <c r="K2" s="7"/>
      <c r="L2" s="7">
        <f>SUM(C2:K2)</f>
        <v>0</v>
      </c>
      <c r="M2" s="215"/>
      <c r="N2" s="216"/>
      <c r="O2" s="216"/>
      <c r="P2" s="217"/>
      <c r="Q2" s="217"/>
      <c r="R2" s="216">
        <v>6210</v>
      </c>
      <c r="S2" s="216"/>
      <c r="T2" s="7">
        <v>4468</v>
      </c>
      <c r="U2" s="7"/>
      <c r="V2" s="7"/>
      <c r="W2" s="7"/>
      <c r="X2" s="216"/>
      <c r="Y2" s="216"/>
      <c r="Z2" s="7"/>
      <c r="AA2" s="218"/>
      <c r="AB2" s="219">
        <v>364221</v>
      </c>
      <c r="AC2" s="219"/>
      <c r="AD2" s="220">
        <v>2453</v>
      </c>
      <c r="AE2" s="220"/>
      <c r="AF2" s="219">
        <v>100226</v>
      </c>
      <c r="AG2" s="221"/>
      <c r="AH2" s="222"/>
      <c r="AI2" s="222"/>
      <c r="AJ2" s="223">
        <v>89027</v>
      </c>
      <c r="AK2" s="223"/>
      <c r="AL2" s="222">
        <v>7284</v>
      </c>
      <c r="AM2" s="222"/>
      <c r="AN2" s="223">
        <v>41951</v>
      </c>
      <c r="AO2" s="224"/>
      <c r="AP2" s="217">
        <v>8209</v>
      </c>
      <c r="AQ2" s="217"/>
      <c r="AR2" s="216"/>
      <c r="AS2" s="216"/>
      <c r="AT2" s="217"/>
      <c r="AU2" s="217"/>
      <c r="AV2" s="216"/>
      <c r="AW2" s="216"/>
      <c r="AX2" s="225">
        <f>SUM(N2:AW2)</f>
        <v>624049</v>
      </c>
      <c r="AY2" s="215"/>
      <c r="AZ2" s="217">
        <v>588272</v>
      </c>
      <c r="BA2" s="215"/>
      <c r="BB2" s="8">
        <f>L2+AX2+AZ2</f>
        <v>1212321</v>
      </c>
    </row>
    <row r="3" spans="1:67" x14ac:dyDescent="0.25">
      <c r="A3" s="142">
        <v>40120</v>
      </c>
      <c r="B3" s="142" t="s">
        <v>38</v>
      </c>
      <c r="C3" s="7"/>
      <c r="D3" s="7"/>
      <c r="E3" s="7"/>
      <c r="F3" s="7"/>
      <c r="G3" s="7"/>
      <c r="H3" s="7"/>
      <c r="I3" s="7"/>
      <c r="J3" s="7"/>
      <c r="K3" s="7"/>
      <c r="L3" s="7">
        <f>SUM(C3:K3)</f>
        <v>0</v>
      </c>
      <c r="M3" s="215"/>
      <c r="N3" s="216">
        <v>3385238</v>
      </c>
      <c r="O3" s="216"/>
      <c r="P3" s="217">
        <v>269534</v>
      </c>
      <c r="Q3" s="217"/>
      <c r="R3" s="216">
        <v>318790</v>
      </c>
      <c r="S3" s="216"/>
      <c r="T3" s="7">
        <v>220598</v>
      </c>
      <c r="U3" s="7"/>
      <c r="V3" s="7">
        <v>90000</v>
      </c>
      <c r="W3" s="7"/>
      <c r="X3" s="216"/>
      <c r="Y3" s="216"/>
      <c r="Z3" s="7"/>
      <c r="AA3" s="218">
        <v>57000</v>
      </c>
      <c r="AB3" s="219"/>
      <c r="AC3" s="219"/>
      <c r="AD3" s="220"/>
      <c r="AE3" s="220"/>
      <c r="AF3" s="219"/>
      <c r="AG3" s="221"/>
      <c r="AH3" s="222"/>
      <c r="AI3" s="222"/>
      <c r="AJ3" s="223"/>
      <c r="AK3" s="223"/>
      <c r="AL3" s="222"/>
      <c r="AM3" s="222"/>
      <c r="AN3" s="223"/>
      <c r="AO3" s="224"/>
      <c r="AP3" s="217">
        <v>75000</v>
      </c>
      <c r="AQ3" s="217"/>
      <c r="AR3" s="216"/>
      <c r="AS3" s="216"/>
      <c r="AT3" s="217"/>
      <c r="AU3" s="217"/>
      <c r="AV3" s="216"/>
      <c r="AW3" s="216"/>
      <c r="AX3" s="225">
        <f>SUM(N3:AW3)</f>
        <v>4416160</v>
      </c>
      <c r="AY3" s="215"/>
      <c r="AZ3" s="217"/>
      <c r="BA3" s="215"/>
      <c r="BB3" s="8">
        <f>L3+AX3+AZ3</f>
        <v>4416160</v>
      </c>
    </row>
    <row r="4" spans="1:67" x14ac:dyDescent="0.25">
      <c r="B4" s="142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15"/>
      <c r="N4" s="227"/>
      <c r="O4" s="227"/>
      <c r="P4" s="228"/>
      <c r="Q4" s="228"/>
      <c r="R4" s="227"/>
      <c r="S4" s="227"/>
      <c r="T4" s="226"/>
      <c r="U4" s="226"/>
      <c r="V4" s="226"/>
      <c r="W4" s="226"/>
      <c r="X4" s="227"/>
      <c r="Y4" s="227"/>
      <c r="Z4" s="226"/>
      <c r="AA4" s="229"/>
      <c r="AB4" s="230"/>
      <c r="AC4" s="230"/>
      <c r="AD4" s="231"/>
      <c r="AE4" s="231"/>
      <c r="AF4" s="230"/>
      <c r="AG4" s="232"/>
      <c r="AH4" s="233"/>
      <c r="AI4" s="233"/>
      <c r="AJ4" s="234"/>
      <c r="AK4" s="234"/>
      <c r="AL4" s="233"/>
      <c r="AM4" s="233"/>
      <c r="AN4" s="234"/>
      <c r="AO4" s="235"/>
      <c r="AP4" s="228"/>
      <c r="AQ4" s="228"/>
      <c r="AR4" s="227"/>
      <c r="AS4" s="227"/>
      <c r="AT4" s="228"/>
      <c r="AU4" s="228"/>
      <c r="AV4" s="227"/>
      <c r="AW4" s="227"/>
      <c r="AX4" s="236"/>
      <c r="AY4" s="215"/>
      <c r="AZ4" s="228"/>
      <c r="BA4" s="215"/>
      <c r="BB4" s="9"/>
    </row>
    <row r="5" spans="1:67" s="13" customFormat="1" x14ac:dyDescent="0.25">
      <c r="A5" s="10"/>
      <c r="B5" s="10" t="s">
        <v>39</v>
      </c>
      <c r="C5" s="11">
        <f>SUM(C2:C4)</f>
        <v>0</v>
      </c>
      <c r="D5" s="11">
        <f>SUM(D2:D4)</f>
        <v>0</v>
      </c>
      <c r="E5" s="11">
        <f>SUM(E2:E4)</f>
        <v>0</v>
      </c>
      <c r="F5" s="11">
        <f t="shared" ref="F5:AZ5" si="0">SUM(F2:F4)</f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237"/>
      <c r="N5" s="11">
        <f>SUM(N2:N4)</f>
        <v>3385238</v>
      </c>
      <c r="O5" s="11"/>
      <c r="P5" s="11">
        <f>SUM(P2:P4)</f>
        <v>269534</v>
      </c>
      <c r="Q5" s="11"/>
      <c r="R5" s="11">
        <f t="shared" si="0"/>
        <v>325000</v>
      </c>
      <c r="S5" s="11"/>
      <c r="T5" s="11">
        <f t="shared" si="0"/>
        <v>225066</v>
      </c>
      <c r="U5" s="11"/>
      <c r="V5" s="11">
        <f t="shared" si="0"/>
        <v>90000</v>
      </c>
      <c r="W5" s="11"/>
      <c r="X5" s="11">
        <f t="shared" si="0"/>
        <v>0</v>
      </c>
      <c r="Y5" s="11"/>
      <c r="Z5" s="11">
        <f t="shared" si="0"/>
        <v>0</v>
      </c>
      <c r="AA5" s="238">
        <f t="shared" si="0"/>
        <v>57000</v>
      </c>
      <c r="AB5" s="11">
        <f t="shared" si="0"/>
        <v>364221</v>
      </c>
      <c r="AC5" s="11"/>
      <c r="AD5" s="11">
        <f t="shared" si="0"/>
        <v>2453</v>
      </c>
      <c r="AE5" s="11"/>
      <c r="AF5" s="11">
        <f t="shared" si="0"/>
        <v>100226</v>
      </c>
      <c r="AG5" s="239">
        <f t="shared" si="0"/>
        <v>0</v>
      </c>
      <c r="AH5" s="11">
        <f t="shared" si="0"/>
        <v>0</v>
      </c>
      <c r="AI5" s="11"/>
      <c r="AJ5" s="11">
        <f t="shared" si="0"/>
        <v>89027</v>
      </c>
      <c r="AK5" s="11"/>
      <c r="AL5" s="11">
        <f t="shared" si="0"/>
        <v>7284</v>
      </c>
      <c r="AM5" s="11"/>
      <c r="AN5" s="11">
        <f t="shared" si="0"/>
        <v>41951</v>
      </c>
      <c r="AO5" s="239"/>
      <c r="AP5" s="11">
        <f t="shared" si="0"/>
        <v>83209</v>
      </c>
      <c r="AQ5" s="11"/>
      <c r="AR5" s="11">
        <f t="shared" si="0"/>
        <v>0</v>
      </c>
      <c r="AS5" s="11"/>
      <c r="AT5" s="11">
        <f t="shared" si="0"/>
        <v>0</v>
      </c>
      <c r="AU5" s="11"/>
      <c r="AV5" s="11">
        <f t="shared" si="0"/>
        <v>0</v>
      </c>
      <c r="AW5" s="11"/>
      <c r="AX5" s="240">
        <f t="shared" si="0"/>
        <v>5040209</v>
      </c>
      <c r="AY5" s="237"/>
      <c r="AZ5" s="11">
        <f t="shared" si="0"/>
        <v>588272</v>
      </c>
      <c r="BA5" s="237"/>
      <c r="BB5" s="11">
        <f>SUM(C5:J5)+AX5+AZ5</f>
        <v>5628481</v>
      </c>
      <c r="BC5" s="11"/>
    </row>
    <row r="6" spans="1:67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21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241"/>
      <c r="AB6" s="7"/>
      <c r="AC6" s="7"/>
      <c r="AD6" s="7"/>
      <c r="AE6" s="7"/>
      <c r="AF6" s="7"/>
      <c r="AG6" s="242"/>
      <c r="AH6" s="7"/>
      <c r="AI6" s="7"/>
      <c r="AJ6" s="7"/>
      <c r="AK6" s="7"/>
      <c r="AL6" s="7"/>
      <c r="AM6" s="7"/>
      <c r="AN6" s="7"/>
      <c r="AO6" s="242"/>
      <c r="AP6" s="7"/>
      <c r="AQ6" s="7"/>
      <c r="AR6" s="7"/>
      <c r="AS6" s="7"/>
      <c r="AT6" s="7"/>
      <c r="AU6" s="7"/>
      <c r="AV6" s="7"/>
      <c r="AW6" s="7"/>
      <c r="AX6" s="36"/>
      <c r="AY6" s="215"/>
      <c r="AZ6" s="7"/>
      <c r="BA6" s="215"/>
    </row>
    <row r="7" spans="1:67" s="16" customFormat="1" x14ac:dyDescent="0.25">
      <c r="A7" s="1" t="s">
        <v>40</v>
      </c>
      <c r="B7" s="14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4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5"/>
      <c r="AB7" s="243"/>
      <c r="AC7" s="243"/>
      <c r="AD7" s="243"/>
      <c r="AE7" s="243"/>
      <c r="AF7" s="243"/>
      <c r="AG7" s="246"/>
      <c r="AH7" s="243"/>
      <c r="AI7" s="243"/>
      <c r="AJ7" s="243"/>
      <c r="AK7" s="243"/>
      <c r="AL7" s="243"/>
      <c r="AM7" s="243"/>
      <c r="AN7" s="243"/>
      <c r="AO7" s="246"/>
      <c r="AP7" s="243"/>
      <c r="AQ7" s="243"/>
      <c r="AR7" s="243"/>
      <c r="AS7" s="243"/>
      <c r="AT7" s="243"/>
      <c r="AU7" s="243"/>
      <c r="AV7" s="243"/>
      <c r="AW7" s="243"/>
      <c r="AX7" s="247"/>
      <c r="AY7" s="244"/>
      <c r="AZ7" s="243"/>
      <c r="BA7" s="244"/>
      <c r="BB7" s="243"/>
      <c r="BC7" s="243"/>
    </row>
    <row r="8" spans="1:67" x14ac:dyDescent="0.25">
      <c r="A8" s="142">
        <v>50110</v>
      </c>
      <c r="B8" s="142" t="s">
        <v>311</v>
      </c>
      <c r="C8" s="217">
        <v>300000</v>
      </c>
      <c r="D8" s="217">
        <v>92692</v>
      </c>
      <c r="E8" s="217"/>
      <c r="F8" s="217">
        <v>903038</v>
      </c>
      <c r="G8" s="217">
        <v>601222</v>
      </c>
      <c r="H8" s="217">
        <v>485872</v>
      </c>
      <c r="I8" s="217">
        <v>148380</v>
      </c>
      <c r="J8" s="217">
        <f>84036+BG22</f>
        <v>103796</v>
      </c>
      <c r="K8" s="217">
        <v>216100</v>
      </c>
      <c r="L8" s="217">
        <f>SUM(C8:K8)</f>
        <v>2851100</v>
      </c>
      <c r="M8" s="215"/>
      <c r="N8" s="216"/>
      <c r="O8" s="216">
        <v>904906</v>
      </c>
      <c r="P8" s="217"/>
      <c r="Q8" s="217">
        <v>99433</v>
      </c>
      <c r="R8" s="216"/>
      <c r="S8" s="216">
        <v>53509</v>
      </c>
      <c r="T8" s="217"/>
      <c r="U8" s="217">
        <v>27835</v>
      </c>
      <c r="V8" s="217"/>
      <c r="W8" s="217"/>
      <c r="X8" s="216"/>
      <c r="Y8" s="216">
        <v>373232</v>
      </c>
      <c r="Z8" s="217">
        <v>492010</v>
      </c>
      <c r="AA8" s="218"/>
      <c r="AB8" s="219"/>
      <c r="AC8" s="219">
        <v>1169325</v>
      </c>
      <c r="AD8" s="220"/>
      <c r="AE8" s="220">
        <v>117840</v>
      </c>
      <c r="AF8" s="219"/>
      <c r="AG8" s="221">
        <v>573160</v>
      </c>
      <c r="AH8" s="222"/>
      <c r="AI8" s="222"/>
      <c r="AJ8" s="223"/>
      <c r="AK8" s="223">
        <v>213982</v>
      </c>
      <c r="AL8" s="222"/>
      <c r="AM8" s="222">
        <v>29210</v>
      </c>
      <c r="AN8" s="223"/>
      <c r="AO8" s="224">
        <v>284186</v>
      </c>
      <c r="AP8" s="217"/>
      <c r="AQ8" s="217">
        <v>78552</v>
      </c>
      <c r="AR8" s="216"/>
      <c r="AS8" s="216">
        <v>358380</v>
      </c>
      <c r="AT8" s="217"/>
      <c r="AU8" s="217">
        <v>509417</v>
      </c>
      <c r="AV8" s="216"/>
      <c r="AW8" s="216">
        <v>772919</v>
      </c>
      <c r="AX8" s="225">
        <f t="shared" ref="AX8:AX21" si="1">SUM(N8:AW8)</f>
        <v>6057896</v>
      </c>
      <c r="AY8" s="215"/>
      <c r="AZ8" s="217">
        <v>392082</v>
      </c>
      <c r="BA8" s="215"/>
      <c r="BB8" s="8">
        <f t="shared" ref="BB8:BB22" si="2">L8+AX8+AZ8</f>
        <v>9301078</v>
      </c>
      <c r="BF8" s="17"/>
      <c r="BG8" s="17"/>
      <c r="BH8" s="17"/>
      <c r="BI8" s="17"/>
      <c r="BJ8" s="17"/>
      <c r="BK8" s="17"/>
      <c r="BL8" s="17"/>
      <c r="BM8" s="17"/>
      <c r="BN8" s="17"/>
      <c r="BO8" s="17"/>
    </row>
    <row r="9" spans="1:67" x14ac:dyDescent="0.25">
      <c r="A9" s="142">
        <v>50120</v>
      </c>
      <c r="B9" s="142" t="s">
        <v>312</v>
      </c>
      <c r="C9" s="217"/>
      <c r="D9" s="217"/>
      <c r="E9" s="217"/>
      <c r="F9" s="217"/>
      <c r="G9" s="217"/>
      <c r="H9" s="217"/>
      <c r="I9" s="217"/>
      <c r="J9" s="217"/>
      <c r="K9" s="217"/>
      <c r="L9" s="217">
        <f t="shared" ref="L9:L21" si="3">SUM(C9:K9)</f>
        <v>0</v>
      </c>
      <c r="M9" s="215"/>
      <c r="N9" s="216"/>
      <c r="O9" s="216">
        <v>72385</v>
      </c>
      <c r="P9" s="217"/>
      <c r="Q9" s="217">
        <v>7948</v>
      </c>
      <c r="R9" s="216"/>
      <c r="S9" s="216">
        <v>4276</v>
      </c>
      <c r="T9" s="217"/>
      <c r="U9" s="217">
        <v>2222</v>
      </c>
      <c r="V9" s="217"/>
      <c r="W9" s="217"/>
      <c r="X9" s="216"/>
      <c r="Y9" s="216">
        <v>6268</v>
      </c>
      <c r="Z9" s="217"/>
      <c r="AA9" s="218"/>
      <c r="AB9" s="219"/>
      <c r="AC9" s="219">
        <v>92703</v>
      </c>
      <c r="AD9" s="220"/>
      <c r="AE9" s="220">
        <v>9420</v>
      </c>
      <c r="AF9" s="219"/>
      <c r="AG9" s="221">
        <v>45846</v>
      </c>
      <c r="AH9" s="222"/>
      <c r="AI9" s="222"/>
      <c r="AJ9" s="223"/>
      <c r="AK9" s="223">
        <v>17113</v>
      </c>
      <c r="AL9" s="222"/>
      <c r="AM9" s="222">
        <v>2331</v>
      </c>
      <c r="AN9" s="223"/>
      <c r="AO9" s="224">
        <v>22729</v>
      </c>
      <c r="AP9" s="217"/>
      <c r="AQ9" s="217">
        <v>6279</v>
      </c>
      <c r="AR9" s="216"/>
      <c r="AS9" s="216">
        <v>21332</v>
      </c>
      <c r="AT9" s="217"/>
      <c r="AU9" s="217">
        <v>36068</v>
      </c>
      <c r="AV9" s="216"/>
      <c r="AW9" s="216">
        <v>56580</v>
      </c>
      <c r="AX9" s="225">
        <f t="shared" si="1"/>
        <v>403500</v>
      </c>
      <c r="AY9" s="215"/>
      <c r="AZ9" s="217"/>
      <c r="BA9" s="215"/>
      <c r="BB9" s="8">
        <f t="shared" si="2"/>
        <v>403500</v>
      </c>
      <c r="BF9" s="17"/>
      <c r="BG9" s="17"/>
      <c r="BH9" s="17"/>
      <c r="BI9" s="17"/>
      <c r="BJ9" s="17"/>
      <c r="BK9" s="17"/>
      <c r="BL9" s="17"/>
      <c r="BM9" s="17"/>
      <c r="BN9" s="17"/>
      <c r="BO9" s="17"/>
    </row>
    <row r="10" spans="1:67" x14ac:dyDescent="0.25">
      <c r="A10" s="142">
        <v>50130</v>
      </c>
      <c r="B10" s="142" t="s">
        <v>41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>
        <f t="shared" si="3"/>
        <v>0</v>
      </c>
      <c r="M10" s="215"/>
      <c r="N10" s="216"/>
      <c r="O10" s="216"/>
      <c r="P10" s="217"/>
      <c r="Q10" s="217"/>
      <c r="R10" s="216"/>
      <c r="S10" s="216"/>
      <c r="T10" s="217"/>
      <c r="U10" s="217"/>
      <c r="V10" s="217"/>
      <c r="W10" s="217"/>
      <c r="X10" s="216"/>
      <c r="Y10" s="216"/>
      <c r="Z10" s="217"/>
      <c r="AA10" s="218"/>
      <c r="AB10" s="219"/>
      <c r="AC10" s="219"/>
      <c r="AD10" s="220"/>
      <c r="AE10" s="220"/>
      <c r="AF10" s="219"/>
      <c r="AG10" s="221"/>
      <c r="AH10" s="222"/>
      <c r="AI10" s="222"/>
      <c r="AJ10" s="223"/>
      <c r="AK10" s="223"/>
      <c r="AL10" s="222"/>
      <c r="AM10" s="222"/>
      <c r="AN10" s="223"/>
      <c r="AO10" s="224"/>
      <c r="AP10" s="217"/>
      <c r="AQ10" s="217"/>
      <c r="AR10" s="216"/>
      <c r="AS10" s="216"/>
      <c r="AT10" s="217"/>
      <c r="AU10" s="217"/>
      <c r="AV10" s="216"/>
      <c r="AW10" s="216"/>
      <c r="AX10" s="225">
        <f t="shared" si="1"/>
        <v>0</v>
      </c>
      <c r="AY10" s="215"/>
      <c r="AZ10" s="217"/>
      <c r="BA10" s="215"/>
      <c r="BB10" s="8">
        <f t="shared" si="2"/>
        <v>0</v>
      </c>
      <c r="BD10" s="248"/>
      <c r="BE10" s="249"/>
      <c r="BF10" s="249"/>
      <c r="BG10" s="249"/>
      <c r="BH10" s="250"/>
      <c r="BI10" s="17"/>
      <c r="BJ10" s="17"/>
      <c r="BK10" s="17"/>
      <c r="BL10" s="17"/>
      <c r="BM10" s="17"/>
      <c r="BN10" s="17"/>
      <c r="BO10" s="17"/>
    </row>
    <row r="11" spans="1:67" x14ac:dyDescent="0.25">
      <c r="A11" s="142">
        <v>50160</v>
      </c>
      <c r="B11" s="142" t="s">
        <v>42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>
        <f t="shared" si="3"/>
        <v>0</v>
      </c>
      <c r="M11" s="215"/>
      <c r="N11" s="216"/>
      <c r="O11" s="216">
        <v>46511</v>
      </c>
      <c r="P11" s="217"/>
      <c r="Q11" s="217">
        <v>5106</v>
      </c>
      <c r="R11" s="216"/>
      <c r="S11" s="216">
        <v>2764</v>
      </c>
      <c r="T11" s="217"/>
      <c r="U11" s="217">
        <v>1402</v>
      </c>
      <c r="V11" s="217"/>
      <c r="W11" s="217"/>
      <c r="X11" s="216"/>
      <c r="Y11" s="216"/>
      <c r="Z11" s="217"/>
      <c r="AA11" s="218"/>
      <c r="AB11" s="219"/>
      <c r="AC11" s="219">
        <v>59594</v>
      </c>
      <c r="AD11" s="220"/>
      <c r="AE11" s="220">
        <v>6054</v>
      </c>
      <c r="AF11" s="219"/>
      <c r="AG11" s="221">
        <v>29457</v>
      </c>
      <c r="AH11" s="222"/>
      <c r="AI11" s="222"/>
      <c r="AJ11" s="223"/>
      <c r="AK11" s="223">
        <v>10992</v>
      </c>
      <c r="AL11" s="222"/>
      <c r="AM11" s="222">
        <v>1497</v>
      </c>
      <c r="AN11" s="223"/>
      <c r="AO11" s="224">
        <v>14603</v>
      </c>
      <c r="AP11" s="217"/>
      <c r="AQ11" s="217">
        <v>4032</v>
      </c>
      <c r="AR11" s="216"/>
      <c r="AS11" s="216"/>
      <c r="AT11" s="217"/>
      <c r="AU11" s="217"/>
      <c r="AV11" s="216"/>
      <c r="AW11" s="216"/>
      <c r="AX11" s="225">
        <f t="shared" si="1"/>
        <v>182012</v>
      </c>
      <c r="AY11" s="215"/>
      <c r="AZ11" s="217"/>
      <c r="BA11" s="215"/>
      <c r="BB11" s="8">
        <f t="shared" si="2"/>
        <v>182012</v>
      </c>
      <c r="BD11" s="325" t="s">
        <v>313</v>
      </c>
      <c r="BE11" s="326"/>
      <c r="BF11" s="326"/>
      <c r="BG11" s="326"/>
      <c r="BH11" s="327"/>
      <c r="BI11" s="17"/>
      <c r="BJ11" s="17"/>
      <c r="BK11" s="17"/>
      <c r="BL11" s="17"/>
      <c r="BM11" s="17"/>
      <c r="BN11" s="17"/>
      <c r="BO11" s="17"/>
    </row>
    <row r="12" spans="1:67" x14ac:dyDescent="0.25">
      <c r="A12" s="142">
        <v>50205</v>
      </c>
      <c r="B12" s="142" t="s">
        <v>314</v>
      </c>
      <c r="C12" s="217">
        <v>22949</v>
      </c>
      <c r="D12" s="217">
        <v>7096</v>
      </c>
      <c r="E12" s="217"/>
      <c r="F12" s="217">
        <v>69083</v>
      </c>
      <c r="G12" s="217">
        <v>45995</v>
      </c>
      <c r="H12" s="217">
        <v>37173</v>
      </c>
      <c r="I12" s="217">
        <v>11344</v>
      </c>
      <c r="J12" s="217">
        <f>6428+BG23</f>
        <v>9358</v>
      </c>
      <c r="K12" s="217">
        <v>16532</v>
      </c>
      <c r="L12" s="217">
        <f t="shared" si="3"/>
        <v>219530</v>
      </c>
      <c r="M12" s="215"/>
      <c r="N12" s="216"/>
      <c r="O12" s="216">
        <v>104772</v>
      </c>
      <c r="P12" s="217"/>
      <c r="Q12" s="217">
        <v>11508</v>
      </c>
      <c r="R12" s="216"/>
      <c r="S12" s="216">
        <v>6236</v>
      </c>
      <c r="T12" s="217"/>
      <c r="U12" s="217">
        <v>3242</v>
      </c>
      <c r="V12" s="217"/>
      <c r="W12" s="217"/>
      <c r="X12" s="216"/>
      <c r="Y12" s="216">
        <v>29032</v>
      </c>
      <c r="Z12" s="217">
        <f>7134+30505</f>
        <v>37639</v>
      </c>
      <c r="AA12" s="218"/>
      <c r="AB12" s="219"/>
      <c r="AC12" s="219">
        <v>135332</v>
      </c>
      <c r="AD12" s="220"/>
      <c r="AE12" s="220">
        <v>13638</v>
      </c>
      <c r="AF12" s="219"/>
      <c r="AG12" s="221">
        <v>66363</v>
      </c>
      <c r="AH12" s="222"/>
      <c r="AI12" s="222"/>
      <c r="AJ12" s="223"/>
      <c r="AK12" s="223">
        <v>24772</v>
      </c>
      <c r="AL12" s="222"/>
      <c r="AM12" s="222">
        <v>3377</v>
      </c>
      <c r="AN12" s="223"/>
      <c r="AO12" s="224">
        <v>32900</v>
      </c>
      <c r="AP12" s="217"/>
      <c r="AQ12" s="217">
        <v>9090</v>
      </c>
      <c r="AR12" s="216"/>
      <c r="AS12" s="216">
        <v>29044</v>
      </c>
      <c r="AT12" s="217"/>
      <c r="AU12" s="217">
        <v>41728</v>
      </c>
      <c r="AV12" s="216"/>
      <c r="AW12" s="216">
        <v>63452</v>
      </c>
      <c r="AX12" s="225">
        <f t="shared" si="1"/>
        <v>612125</v>
      </c>
      <c r="AY12" s="215"/>
      <c r="AZ12" s="217">
        <v>29990</v>
      </c>
      <c r="BA12" s="215"/>
      <c r="BB12" s="8">
        <f t="shared" si="2"/>
        <v>861645</v>
      </c>
      <c r="BD12" s="55"/>
      <c r="BE12" s="168"/>
      <c r="BH12" s="251"/>
      <c r="BI12" s="17"/>
      <c r="BJ12" s="17"/>
      <c r="BK12" s="17"/>
      <c r="BL12" s="17"/>
      <c r="BM12" s="17"/>
      <c r="BN12" s="17"/>
      <c r="BO12" s="17"/>
    </row>
    <row r="13" spans="1:67" x14ac:dyDescent="0.25">
      <c r="A13" s="142">
        <v>50210</v>
      </c>
      <c r="B13" s="142" t="s">
        <v>44</v>
      </c>
      <c r="C13" s="217">
        <v>19458</v>
      </c>
      <c r="D13" s="217">
        <v>6032</v>
      </c>
      <c r="E13" s="217"/>
      <c r="F13" s="217">
        <v>58758</v>
      </c>
      <c r="G13" s="217">
        <v>39118</v>
      </c>
      <c r="H13" s="217">
        <v>29830</v>
      </c>
      <c r="I13" s="217">
        <v>9653</v>
      </c>
      <c r="J13" s="217">
        <v>5466</v>
      </c>
      <c r="K13" s="217">
        <v>14060</v>
      </c>
      <c r="L13" s="217">
        <f t="shared" si="3"/>
        <v>182375</v>
      </c>
      <c r="M13" s="215"/>
      <c r="N13" s="216"/>
      <c r="O13" s="216"/>
      <c r="P13" s="217"/>
      <c r="Q13" s="217"/>
      <c r="R13" s="216"/>
      <c r="S13" s="216"/>
      <c r="T13" s="217"/>
      <c r="U13" s="217"/>
      <c r="V13" s="217"/>
      <c r="W13" s="217"/>
      <c r="X13" s="216"/>
      <c r="Y13" s="216">
        <v>3600</v>
      </c>
      <c r="Z13" s="217">
        <v>31188</v>
      </c>
      <c r="AA13" s="218"/>
      <c r="AB13" s="219"/>
      <c r="AC13" s="219"/>
      <c r="AD13" s="220"/>
      <c r="AE13" s="220"/>
      <c r="AF13" s="219"/>
      <c r="AG13" s="221"/>
      <c r="AH13" s="222"/>
      <c r="AI13" s="222"/>
      <c r="AJ13" s="223"/>
      <c r="AK13" s="223"/>
      <c r="AL13" s="222"/>
      <c r="AM13" s="222"/>
      <c r="AN13" s="223"/>
      <c r="AO13" s="224"/>
      <c r="AP13" s="217"/>
      <c r="AQ13" s="217"/>
      <c r="AR13" s="216"/>
      <c r="AS13" s="216">
        <v>1200</v>
      </c>
      <c r="AT13" s="217"/>
      <c r="AU13" s="217">
        <v>11904</v>
      </c>
      <c r="AV13" s="216"/>
      <c r="AW13" s="216">
        <v>16080</v>
      </c>
      <c r="AX13" s="225">
        <f t="shared" si="1"/>
        <v>63972</v>
      </c>
      <c r="AY13" s="215"/>
      <c r="AZ13" s="217">
        <v>25511</v>
      </c>
      <c r="BA13" s="215"/>
      <c r="BB13" s="8">
        <f t="shared" si="2"/>
        <v>271858</v>
      </c>
      <c r="BD13" s="55"/>
      <c r="BH13" s="251"/>
      <c r="BI13" s="17"/>
      <c r="BJ13" s="17"/>
      <c r="BK13" s="17"/>
      <c r="BL13" s="17"/>
      <c r="BM13" s="17"/>
      <c r="BN13" s="17"/>
      <c r="BO13" s="17"/>
    </row>
    <row r="14" spans="1:67" x14ac:dyDescent="0.25">
      <c r="A14" s="142">
        <v>50215</v>
      </c>
      <c r="B14" s="142" t="s">
        <v>45</v>
      </c>
      <c r="C14" s="217">
        <v>14364</v>
      </c>
      <c r="D14" s="217">
        <v>19932</v>
      </c>
      <c r="E14" s="217"/>
      <c r="F14" s="217">
        <v>167952</v>
      </c>
      <c r="G14" s="217">
        <v>88608</v>
      </c>
      <c r="H14" s="217">
        <v>82680</v>
      </c>
      <c r="I14" s="217">
        <v>14364</v>
      </c>
      <c r="J14" s="217">
        <v>9960</v>
      </c>
      <c r="K14" s="217">
        <v>29892</v>
      </c>
      <c r="L14" s="217">
        <f t="shared" si="3"/>
        <v>427752</v>
      </c>
      <c r="M14" s="215"/>
      <c r="N14" s="216"/>
      <c r="O14" s="216">
        <v>214136</v>
      </c>
      <c r="P14" s="217"/>
      <c r="Q14" s="217">
        <v>23524</v>
      </c>
      <c r="R14" s="216"/>
      <c r="S14" s="216">
        <v>12749</v>
      </c>
      <c r="T14" s="217"/>
      <c r="U14" s="217">
        <v>6628</v>
      </c>
      <c r="V14" s="217"/>
      <c r="W14" s="217"/>
      <c r="X14" s="216"/>
      <c r="Y14" s="216">
        <v>73692</v>
      </c>
      <c r="Z14" s="217">
        <v>113280</v>
      </c>
      <c r="AA14" s="218"/>
      <c r="AB14" s="219"/>
      <c r="AC14" s="219">
        <v>276588</v>
      </c>
      <c r="AD14" s="220"/>
      <c r="AE14" s="220">
        <v>27882</v>
      </c>
      <c r="AF14" s="219"/>
      <c r="AG14" s="221">
        <v>135631</v>
      </c>
      <c r="AH14" s="222"/>
      <c r="AI14" s="222"/>
      <c r="AJ14" s="223"/>
      <c r="AK14" s="223">
        <v>50634</v>
      </c>
      <c r="AL14" s="222"/>
      <c r="AM14" s="222">
        <v>6909</v>
      </c>
      <c r="AN14" s="223"/>
      <c r="AO14" s="224">
        <v>67246</v>
      </c>
      <c r="AP14" s="217"/>
      <c r="AQ14" s="217">
        <v>18579</v>
      </c>
      <c r="AR14" s="216"/>
      <c r="AS14" s="216">
        <v>96996</v>
      </c>
      <c r="AT14" s="217"/>
      <c r="AU14" s="217">
        <v>120108</v>
      </c>
      <c r="AV14" s="216"/>
      <c r="AW14" s="216">
        <v>162852</v>
      </c>
      <c r="AX14" s="225">
        <f t="shared" si="1"/>
        <v>1407434</v>
      </c>
      <c r="AY14" s="215"/>
      <c r="AZ14" s="217">
        <v>54576</v>
      </c>
      <c r="BA14" s="215"/>
      <c r="BB14" s="8">
        <f t="shared" si="2"/>
        <v>1889762</v>
      </c>
      <c r="BD14" s="55"/>
      <c r="BF14" s="39" t="s">
        <v>315</v>
      </c>
      <c r="BG14" s="39" t="s">
        <v>316</v>
      </c>
      <c r="BH14" s="252" t="s">
        <v>317</v>
      </c>
      <c r="BI14" s="17"/>
      <c r="BJ14" s="17"/>
      <c r="BK14" s="17"/>
      <c r="BL14" s="17"/>
      <c r="BM14" s="17"/>
      <c r="BN14" s="17"/>
      <c r="BO14" s="17"/>
    </row>
    <row r="15" spans="1:67" x14ac:dyDescent="0.25">
      <c r="A15" s="142">
        <v>50225</v>
      </c>
      <c r="B15" s="142" t="s">
        <v>46</v>
      </c>
      <c r="C15" s="217">
        <v>2049</v>
      </c>
      <c r="D15" s="217">
        <v>635</v>
      </c>
      <c r="E15" s="217"/>
      <c r="F15" s="217">
        <v>6184</v>
      </c>
      <c r="G15" s="217">
        <v>4119</v>
      </c>
      <c r="H15" s="217">
        <v>3325</v>
      </c>
      <c r="I15" s="217">
        <v>1020</v>
      </c>
      <c r="J15" s="217">
        <v>574</v>
      </c>
      <c r="K15" s="217">
        <v>1428</v>
      </c>
      <c r="L15" s="217">
        <f t="shared" si="3"/>
        <v>19334</v>
      </c>
      <c r="M15" s="215"/>
      <c r="N15" s="216"/>
      <c r="O15" s="216">
        <v>18726</v>
      </c>
      <c r="P15" s="217"/>
      <c r="Q15" s="217">
        <v>2052</v>
      </c>
      <c r="R15" s="216"/>
      <c r="S15" s="216">
        <v>1110</v>
      </c>
      <c r="T15" s="217"/>
      <c r="U15" s="217">
        <v>574</v>
      </c>
      <c r="V15" s="217"/>
      <c r="W15" s="217"/>
      <c r="X15" s="216"/>
      <c r="Y15" s="216">
        <v>25044</v>
      </c>
      <c r="Z15" s="217">
        <v>3367</v>
      </c>
      <c r="AA15" s="218"/>
      <c r="AB15" s="219"/>
      <c r="AC15" s="219">
        <v>24188</v>
      </c>
      <c r="AD15" s="220"/>
      <c r="AE15" s="220">
        <v>2436</v>
      </c>
      <c r="AF15" s="219"/>
      <c r="AG15" s="221">
        <v>11858</v>
      </c>
      <c r="AH15" s="222"/>
      <c r="AI15" s="222"/>
      <c r="AJ15" s="223"/>
      <c r="AK15" s="223">
        <v>4423</v>
      </c>
      <c r="AL15" s="222"/>
      <c r="AM15" s="222">
        <v>599</v>
      </c>
      <c r="AN15" s="223"/>
      <c r="AO15" s="224">
        <v>5876</v>
      </c>
      <c r="AP15" s="217"/>
      <c r="AQ15" s="217">
        <v>1620</v>
      </c>
      <c r="AR15" s="216"/>
      <c r="AS15" s="216">
        <v>25059</v>
      </c>
      <c r="AT15" s="217"/>
      <c r="AU15" s="217">
        <v>36002</v>
      </c>
      <c r="AV15" s="216"/>
      <c r="AW15" s="216">
        <v>54740</v>
      </c>
      <c r="AX15" s="225">
        <f t="shared" si="1"/>
        <v>217674</v>
      </c>
      <c r="AY15" s="215"/>
      <c r="AZ15" s="217">
        <v>2685</v>
      </c>
      <c r="BA15" s="215"/>
      <c r="BB15" s="8">
        <f t="shared" si="2"/>
        <v>239693</v>
      </c>
      <c r="BD15" s="55"/>
      <c r="BF15" s="19"/>
      <c r="BG15" s="253"/>
      <c r="BH15" s="254"/>
      <c r="BI15" s="17" t="s">
        <v>318</v>
      </c>
      <c r="BJ15" s="17"/>
      <c r="BK15" s="17"/>
      <c r="BL15" s="22"/>
      <c r="BM15" s="22"/>
      <c r="BN15" s="22"/>
      <c r="BO15" s="22"/>
    </row>
    <row r="16" spans="1:67" x14ac:dyDescent="0.25">
      <c r="A16" s="142">
        <v>50230</v>
      </c>
      <c r="B16" s="142" t="s">
        <v>47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>
        <f t="shared" si="3"/>
        <v>0</v>
      </c>
      <c r="M16" s="215"/>
      <c r="N16" s="216"/>
      <c r="O16" s="216"/>
      <c r="P16" s="217"/>
      <c r="Q16" s="217"/>
      <c r="R16" s="216"/>
      <c r="S16" s="216"/>
      <c r="T16" s="217"/>
      <c r="U16" s="217"/>
      <c r="V16" s="217"/>
      <c r="W16" s="217"/>
      <c r="X16" s="216"/>
      <c r="Y16" s="216">
        <v>2280</v>
      </c>
      <c r="Z16" s="217"/>
      <c r="AA16" s="218"/>
      <c r="AB16" s="219"/>
      <c r="AC16" s="219"/>
      <c r="AD16" s="220"/>
      <c r="AE16" s="220"/>
      <c r="AF16" s="219"/>
      <c r="AG16" s="221"/>
      <c r="AH16" s="222"/>
      <c r="AI16" s="222"/>
      <c r="AJ16" s="223"/>
      <c r="AK16" s="223"/>
      <c r="AL16" s="222"/>
      <c r="AM16" s="222"/>
      <c r="AN16" s="223"/>
      <c r="AO16" s="224"/>
      <c r="AP16" s="217"/>
      <c r="AQ16" s="217"/>
      <c r="AR16" s="216"/>
      <c r="AS16" s="216">
        <v>2280</v>
      </c>
      <c r="AT16" s="217"/>
      <c r="AU16" s="217">
        <v>3272</v>
      </c>
      <c r="AV16" s="216"/>
      <c r="AW16" s="216">
        <v>4980</v>
      </c>
      <c r="AX16" s="225">
        <f t="shared" si="1"/>
        <v>12812</v>
      </c>
      <c r="AY16" s="215"/>
      <c r="AZ16" s="217"/>
      <c r="BA16" s="215"/>
      <c r="BB16" s="8">
        <f t="shared" si="2"/>
        <v>12812</v>
      </c>
      <c r="BD16" s="55"/>
      <c r="BF16" s="19" t="s">
        <v>319</v>
      </c>
      <c r="BG16" s="255">
        <v>100000</v>
      </c>
      <c r="BH16" s="254" t="s">
        <v>320</v>
      </c>
    </row>
    <row r="17" spans="1:69" x14ac:dyDescent="0.25">
      <c r="A17" s="142">
        <v>50231</v>
      </c>
      <c r="B17" s="142" t="s">
        <v>48</v>
      </c>
      <c r="C17" s="217">
        <v>1080</v>
      </c>
      <c r="D17" s="217">
        <v>1020</v>
      </c>
      <c r="E17" s="217"/>
      <c r="F17" s="217">
        <v>8892</v>
      </c>
      <c r="G17" s="217">
        <v>5460</v>
      </c>
      <c r="H17" s="217">
        <v>4884</v>
      </c>
      <c r="I17" s="217">
        <v>1080</v>
      </c>
      <c r="J17" s="217">
        <v>900</v>
      </c>
      <c r="K17" s="217">
        <v>2388</v>
      </c>
      <c r="L17" s="217">
        <f t="shared" si="3"/>
        <v>25704</v>
      </c>
      <c r="M17" s="215"/>
      <c r="N17" s="216"/>
      <c r="O17" s="216">
        <v>23989</v>
      </c>
      <c r="P17" s="217"/>
      <c r="Q17" s="217">
        <v>2631</v>
      </c>
      <c r="R17" s="216"/>
      <c r="S17" s="216">
        <v>1423</v>
      </c>
      <c r="T17" s="217"/>
      <c r="U17" s="217">
        <v>738</v>
      </c>
      <c r="V17" s="217"/>
      <c r="W17" s="217"/>
      <c r="X17" s="216"/>
      <c r="Y17" s="216">
        <v>5004</v>
      </c>
      <c r="Z17" s="217">
        <v>5880</v>
      </c>
      <c r="AA17" s="218"/>
      <c r="AB17" s="219"/>
      <c r="AC17" s="219">
        <v>30987</v>
      </c>
      <c r="AD17" s="220"/>
      <c r="AE17" s="220">
        <v>3120</v>
      </c>
      <c r="AF17" s="219"/>
      <c r="AG17" s="221">
        <v>15196</v>
      </c>
      <c r="AH17" s="222"/>
      <c r="AI17" s="222"/>
      <c r="AJ17" s="223"/>
      <c r="AK17" s="223">
        <v>5667</v>
      </c>
      <c r="AL17" s="222"/>
      <c r="AM17" s="222">
        <v>769</v>
      </c>
      <c r="AN17" s="223"/>
      <c r="AO17" s="224">
        <v>7529</v>
      </c>
      <c r="AP17" s="217"/>
      <c r="AQ17" s="217">
        <v>2076</v>
      </c>
      <c r="AR17" s="216"/>
      <c r="AS17" s="216">
        <v>5808</v>
      </c>
      <c r="AT17" s="217"/>
      <c r="AU17" s="217">
        <v>7704</v>
      </c>
      <c r="AV17" s="216"/>
      <c r="AW17" s="216">
        <v>12072</v>
      </c>
      <c r="AX17" s="225">
        <f t="shared" si="1"/>
        <v>130593</v>
      </c>
      <c r="AY17" s="215"/>
      <c r="AZ17" s="217">
        <v>3660</v>
      </c>
      <c r="BA17" s="215"/>
      <c r="BB17" s="8">
        <f t="shared" si="2"/>
        <v>159957</v>
      </c>
      <c r="BD17" s="55"/>
      <c r="BF17" s="23" t="s">
        <v>321</v>
      </c>
      <c r="BG17" s="253">
        <f>SUM(BG15:BG16)</f>
        <v>100000</v>
      </c>
      <c r="BH17" s="256"/>
      <c r="BI17" s="17"/>
      <c r="BJ17" s="17"/>
      <c r="BK17" s="17"/>
      <c r="BL17" s="17"/>
      <c r="BM17" s="17"/>
      <c r="BN17" s="17"/>
      <c r="BO17" s="17"/>
    </row>
    <row r="18" spans="1:69" x14ac:dyDescent="0.25">
      <c r="A18" s="142">
        <v>50235</v>
      </c>
      <c r="B18" s="142" t="s">
        <v>49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>
        <f t="shared" si="3"/>
        <v>0</v>
      </c>
      <c r="M18" s="215"/>
      <c r="N18" s="216"/>
      <c r="O18" s="216">
        <v>2652</v>
      </c>
      <c r="P18" s="217"/>
      <c r="Q18" s="217">
        <v>287</v>
      </c>
      <c r="R18" s="216"/>
      <c r="S18" s="216">
        <v>151</v>
      </c>
      <c r="T18" s="217"/>
      <c r="U18" s="217">
        <v>75</v>
      </c>
      <c r="V18" s="217"/>
      <c r="W18" s="217"/>
      <c r="X18" s="216"/>
      <c r="Y18" s="216">
        <v>1092</v>
      </c>
      <c r="Z18" s="217"/>
      <c r="AA18" s="218"/>
      <c r="AB18" s="219"/>
      <c r="AC18" s="219">
        <v>3430</v>
      </c>
      <c r="AD18" s="220"/>
      <c r="AE18" s="220">
        <v>339</v>
      </c>
      <c r="AF18" s="219"/>
      <c r="AG18" s="221">
        <v>1679</v>
      </c>
      <c r="AH18" s="222"/>
      <c r="AI18" s="222"/>
      <c r="AJ18" s="223"/>
      <c r="AK18" s="223">
        <v>622</v>
      </c>
      <c r="AL18" s="222"/>
      <c r="AM18" s="222">
        <v>78</v>
      </c>
      <c r="AN18" s="223"/>
      <c r="AO18" s="224">
        <v>828</v>
      </c>
      <c r="AP18" s="217"/>
      <c r="AQ18" s="217">
        <v>225</v>
      </c>
      <c r="AR18" s="216"/>
      <c r="AS18" s="216">
        <v>1224</v>
      </c>
      <c r="AT18" s="217"/>
      <c r="AU18" s="217">
        <v>2088</v>
      </c>
      <c r="AV18" s="216"/>
      <c r="AW18" s="216">
        <v>2364</v>
      </c>
      <c r="AX18" s="225">
        <f t="shared" si="1"/>
        <v>17134</v>
      </c>
      <c r="AY18" s="215"/>
      <c r="AZ18" s="217"/>
      <c r="BA18" s="215"/>
      <c r="BB18" s="8">
        <f t="shared" si="2"/>
        <v>17134</v>
      </c>
      <c r="BD18" s="55"/>
      <c r="BH18" s="251"/>
    </row>
    <row r="19" spans="1:69" x14ac:dyDescent="0.25">
      <c r="A19" s="142">
        <v>50245</v>
      </c>
      <c r="B19" s="142" t="s">
        <v>50</v>
      </c>
      <c r="C19" s="217">
        <v>9000</v>
      </c>
      <c r="D19" s="217"/>
      <c r="E19" s="217"/>
      <c r="F19" s="217">
        <v>6000</v>
      </c>
      <c r="G19" s="217">
        <v>6000</v>
      </c>
      <c r="H19" s="217">
        <v>6000</v>
      </c>
      <c r="I19" s="217">
        <v>6000</v>
      </c>
      <c r="J19" s="217"/>
      <c r="K19" s="217"/>
      <c r="L19" s="217">
        <f t="shared" si="3"/>
        <v>33000</v>
      </c>
      <c r="M19" s="215"/>
      <c r="N19" s="216"/>
      <c r="O19" s="216"/>
      <c r="P19" s="217"/>
      <c r="Q19" s="217"/>
      <c r="R19" s="216"/>
      <c r="S19" s="216"/>
      <c r="T19" s="217"/>
      <c r="U19" s="217"/>
      <c r="V19" s="217"/>
      <c r="W19" s="217"/>
      <c r="X19" s="216"/>
      <c r="Y19" s="216"/>
      <c r="Z19" s="217"/>
      <c r="AA19" s="218"/>
      <c r="AB19" s="219"/>
      <c r="AC19" s="219"/>
      <c r="AD19" s="220"/>
      <c r="AE19" s="220"/>
      <c r="AF19" s="219"/>
      <c r="AG19" s="221"/>
      <c r="AH19" s="222"/>
      <c r="AI19" s="222"/>
      <c r="AJ19" s="223"/>
      <c r="AK19" s="223"/>
      <c r="AL19" s="222"/>
      <c r="AM19" s="222"/>
      <c r="AN19" s="223"/>
      <c r="AO19" s="224"/>
      <c r="AP19" s="217"/>
      <c r="AQ19" s="217"/>
      <c r="AR19" s="216"/>
      <c r="AS19" s="216"/>
      <c r="AT19" s="217"/>
      <c r="AU19" s="217"/>
      <c r="AV19" s="216"/>
      <c r="AW19" s="216"/>
      <c r="AX19" s="225">
        <f t="shared" si="1"/>
        <v>0</v>
      </c>
      <c r="AY19" s="215"/>
      <c r="AZ19" s="217"/>
      <c r="BA19" s="215"/>
      <c r="BB19" s="8">
        <f t="shared" si="2"/>
        <v>33000</v>
      </c>
      <c r="BD19" s="55"/>
      <c r="BF19" s="39" t="s">
        <v>322</v>
      </c>
      <c r="BG19" s="39" t="s">
        <v>316</v>
      </c>
      <c r="BH19" s="252" t="s">
        <v>317</v>
      </c>
      <c r="BL19" s="24"/>
      <c r="BM19" s="24"/>
      <c r="BN19" s="24"/>
    </row>
    <row r="20" spans="1:69" x14ac:dyDescent="0.25">
      <c r="A20" s="142">
        <v>50250</v>
      </c>
      <c r="B20" s="142" t="s">
        <v>51</v>
      </c>
      <c r="C20" s="217">
        <v>1800</v>
      </c>
      <c r="D20" s="217"/>
      <c r="E20" s="217"/>
      <c r="F20" s="217">
        <v>720</v>
      </c>
      <c r="G20" s="217">
        <v>4320</v>
      </c>
      <c r="H20" s="217">
        <v>4320</v>
      </c>
      <c r="I20" s="217">
        <v>720</v>
      </c>
      <c r="J20" s="217"/>
      <c r="K20" s="217">
        <v>2160</v>
      </c>
      <c r="L20" s="217">
        <f t="shared" si="3"/>
        <v>14040</v>
      </c>
      <c r="M20" s="215"/>
      <c r="N20" s="216"/>
      <c r="O20" s="216"/>
      <c r="P20" s="217"/>
      <c r="Q20" s="217"/>
      <c r="R20" s="216"/>
      <c r="S20" s="216"/>
      <c r="T20" s="217"/>
      <c r="U20" s="217"/>
      <c r="V20" s="217"/>
      <c r="W20" s="217"/>
      <c r="X20" s="216"/>
      <c r="Y20" s="216"/>
      <c r="Z20" s="217">
        <v>2160</v>
      </c>
      <c r="AA20" s="218"/>
      <c r="AB20" s="219"/>
      <c r="AC20" s="219"/>
      <c r="AD20" s="220"/>
      <c r="AE20" s="220"/>
      <c r="AF20" s="219"/>
      <c r="AG20" s="221"/>
      <c r="AH20" s="222"/>
      <c r="AI20" s="222"/>
      <c r="AJ20" s="223"/>
      <c r="AK20" s="223"/>
      <c r="AL20" s="222"/>
      <c r="AM20" s="222"/>
      <c r="AN20" s="223"/>
      <c r="AO20" s="224"/>
      <c r="AP20" s="217"/>
      <c r="AQ20" s="217"/>
      <c r="AR20" s="216"/>
      <c r="AS20" s="216"/>
      <c r="AT20" s="217"/>
      <c r="AU20" s="217"/>
      <c r="AV20" s="216"/>
      <c r="AW20" s="216"/>
      <c r="AX20" s="225">
        <f t="shared" si="1"/>
        <v>2160</v>
      </c>
      <c r="AY20" s="215"/>
      <c r="AZ20" s="217">
        <v>2160</v>
      </c>
      <c r="BA20" s="215"/>
      <c r="BB20" s="8">
        <f t="shared" si="2"/>
        <v>18360</v>
      </c>
      <c r="BD20" s="55"/>
      <c r="BF20" s="19" t="s">
        <v>323</v>
      </c>
      <c r="BG20" s="257">
        <v>30000</v>
      </c>
      <c r="BH20" s="254" t="s">
        <v>324</v>
      </c>
      <c r="BN20" s="215"/>
    </row>
    <row r="21" spans="1:69" x14ac:dyDescent="0.25">
      <c r="A21" s="142">
        <v>50265</v>
      </c>
      <c r="B21" s="142" t="s">
        <v>52</v>
      </c>
      <c r="C21" s="217">
        <v>756</v>
      </c>
      <c r="D21" s="217">
        <v>996</v>
      </c>
      <c r="E21" s="217"/>
      <c r="F21" s="217">
        <v>7488</v>
      </c>
      <c r="G21" s="217">
        <v>4140</v>
      </c>
      <c r="H21" s="217">
        <v>2976</v>
      </c>
      <c r="I21" s="217">
        <v>756</v>
      </c>
      <c r="J21" s="217">
        <v>492</v>
      </c>
      <c r="K21" s="217">
        <v>1488</v>
      </c>
      <c r="L21" s="217">
        <f t="shared" si="3"/>
        <v>19092</v>
      </c>
      <c r="M21" s="215"/>
      <c r="N21" s="216"/>
      <c r="O21" s="216">
        <v>6703</v>
      </c>
      <c r="P21" s="217"/>
      <c r="Q21" s="217">
        <v>731</v>
      </c>
      <c r="R21" s="216"/>
      <c r="S21" s="216">
        <v>394</v>
      </c>
      <c r="T21" s="217"/>
      <c r="U21" s="217">
        <v>202</v>
      </c>
      <c r="V21" s="217"/>
      <c r="W21" s="217"/>
      <c r="X21" s="216"/>
      <c r="Y21" s="216">
        <v>2220</v>
      </c>
      <c r="Z21" s="217">
        <v>5364</v>
      </c>
      <c r="AA21" s="218"/>
      <c r="AB21" s="219"/>
      <c r="AC21" s="219">
        <v>8659</v>
      </c>
      <c r="AD21" s="220"/>
      <c r="AE21" s="220">
        <v>867</v>
      </c>
      <c r="AF21" s="219"/>
      <c r="AG21" s="221">
        <v>4243</v>
      </c>
      <c r="AH21" s="222"/>
      <c r="AI21" s="222"/>
      <c r="AJ21" s="223"/>
      <c r="AK21" s="223">
        <v>1581</v>
      </c>
      <c r="AL21" s="222"/>
      <c r="AM21" s="222">
        <v>211</v>
      </c>
      <c r="AN21" s="223"/>
      <c r="AO21" s="224">
        <v>2101</v>
      </c>
      <c r="AP21" s="217"/>
      <c r="AQ21" s="217">
        <v>576</v>
      </c>
      <c r="AR21" s="216"/>
      <c r="AS21" s="216">
        <v>2088</v>
      </c>
      <c r="AT21" s="217"/>
      <c r="AU21" s="217">
        <v>3684</v>
      </c>
      <c r="AV21" s="216"/>
      <c r="AW21" s="216">
        <v>4776</v>
      </c>
      <c r="AX21" s="225">
        <f t="shared" si="1"/>
        <v>44400</v>
      </c>
      <c r="AY21" s="215"/>
      <c r="AZ21" s="217">
        <v>2712</v>
      </c>
      <c r="BA21" s="215"/>
      <c r="BB21" s="8">
        <f t="shared" si="2"/>
        <v>66204</v>
      </c>
      <c r="BD21" s="55"/>
      <c r="BF21" s="142" t="s">
        <v>325</v>
      </c>
      <c r="BG21" s="258">
        <v>51000</v>
      </c>
      <c r="BH21" s="254" t="s">
        <v>326</v>
      </c>
      <c r="BI21" s="13" t="s">
        <v>327</v>
      </c>
      <c r="BN21" s="259"/>
    </row>
    <row r="22" spans="1:69" s="13" customFormat="1" x14ac:dyDescent="0.25">
      <c r="A22" s="27"/>
      <c r="B22" s="27" t="s">
        <v>53</v>
      </c>
      <c r="C22" s="28">
        <f t="shared" ref="C22:AZ22" si="4">SUM(C8:C21)</f>
        <v>371456</v>
      </c>
      <c r="D22" s="28">
        <f t="shared" si="4"/>
        <v>128403</v>
      </c>
      <c r="E22" s="28">
        <f t="shared" si="4"/>
        <v>0</v>
      </c>
      <c r="F22" s="28">
        <f t="shared" si="4"/>
        <v>1228115</v>
      </c>
      <c r="G22" s="28">
        <f t="shared" si="4"/>
        <v>798982</v>
      </c>
      <c r="H22" s="28">
        <f t="shared" si="4"/>
        <v>657060</v>
      </c>
      <c r="I22" s="28">
        <f t="shared" si="4"/>
        <v>193317</v>
      </c>
      <c r="J22" s="28">
        <f t="shared" si="4"/>
        <v>130546</v>
      </c>
      <c r="K22" s="28">
        <f t="shared" si="4"/>
        <v>284048</v>
      </c>
      <c r="L22" s="28">
        <f t="shared" si="4"/>
        <v>3791927</v>
      </c>
      <c r="M22" s="260"/>
      <c r="N22" s="28">
        <f t="shared" si="4"/>
        <v>0</v>
      </c>
      <c r="O22" s="28">
        <f t="shared" si="4"/>
        <v>1394780</v>
      </c>
      <c r="P22" s="28">
        <f t="shared" si="4"/>
        <v>0</v>
      </c>
      <c r="Q22" s="28">
        <f t="shared" si="4"/>
        <v>153220</v>
      </c>
      <c r="R22" s="28">
        <f t="shared" si="4"/>
        <v>0</v>
      </c>
      <c r="S22" s="28">
        <f t="shared" si="4"/>
        <v>82612</v>
      </c>
      <c r="T22" s="28">
        <f t="shared" si="4"/>
        <v>0</v>
      </c>
      <c r="U22" s="28">
        <f t="shared" si="4"/>
        <v>42918</v>
      </c>
      <c r="V22" s="28">
        <f t="shared" si="4"/>
        <v>0</v>
      </c>
      <c r="W22" s="28"/>
      <c r="X22" s="28">
        <f t="shared" si="4"/>
        <v>0</v>
      </c>
      <c r="Y22" s="28">
        <f t="shared" si="4"/>
        <v>521464</v>
      </c>
      <c r="Z22" s="28">
        <f t="shared" si="4"/>
        <v>690888</v>
      </c>
      <c r="AA22" s="261">
        <f t="shared" si="4"/>
        <v>0</v>
      </c>
      <c r="AB22" s="28">
        <f t="shared" si="4"/>
        <v>0</v>
      </c>
      <c r="AC22" s="28">
        <f t="shared" si="4"/>
        <v>1800806</v>
      </c>
      <c r="AD22" s="28">
        <f t="shared" si="4"/>
        <v>0</v>
      </c>
      <c r="AE22" s="28">
        <f t="shared" si="4"/>
        <v>181596</v>
      </c>
      <c r="AF22" s="28">
        <f t="shared" si="4"/>
        <v>0</v>
      </c>
      <c r="AG22" s="262">
        <f t="shared" si="4"/>
        <v>883433</v>
      </c>
      <c r="AH22" s="28">
        <f t="shared" si="4"/>
        <v>0</v>
      </c>
      <c r="AI22" s="28">
        <f t="shared" si="4"/>
        <v>0</v>
      </c>
      <c r="AJ22" s="28">
        <f t="shared" si="4"/>
        <v>0</v>
      </c>
      <c r="AK22" s="28">
        <f t="shared" si="4"/>
        <v>329786</v>
      </c>
      <c r="AL22" s="28">
        <f t="shared" si="4"/>
        <v>0</v>
      </c>
      <c r="AM22" s="28">
        <f t="shared" si="4"/>
        <v>44981</v>
      </c>
      <c r="AN22" s="28">
        <f t="shared" si="4"/>
        <v>0</v>
      </c>
      <c r="AO22" s="262">
        <f t="shared" si="4"/>
        <v>437998</v>
      </c>
      <c r="AP22" s="28">
        <f t="shared" si="4"/>
        <v>0</v>
      </c>
      <c r="AQ22" s="28">
        <f t="shared" si="4"/>
        <v>121029</v>
      </c>
      <c r="AR22" s="28">
        <f t="shared" si="4"/>
        <v>0</v>
      </c>
      <c r="AS22" s="28">
        <f t="shared" si="4"/>
        <v>543411</v>
      </c>
      <c r="AT22" s="28">
        <f t="shared" si="4"/>
        <v>0</v>
      </c>
      <c r="AU22" s="28">
        <f t="shared" si="4"/>
        <v>771975</v>
      </c>
      <c r="AV22" s="28">
        <f t="shared" si="4"/>
        <v>0</v>
      </c>
      <c r="AW22" s="28">
        <f t="shared" si="4"/>
        <v>1150815</v>
      </c>
      <c r="AX22" s="263">
        <f t="shared" si="4"/>
        <v>9151712</v>
      </c>
      <c r="AY22" s="260"/>
      <c r="AZ22" s="28">
        <f t="shared" si="4"/>
        <v>513376</v>
      </c>
      <c r="BA22" s="260"/>
      <c r="BB22" s="30">
        <f t="shared" si="2"/>
        <v>13457015</v>
      </c>
      <c r="BC22" s="30"/>
      <c r="BD22" s="55"/>
      <c r="BE22" s="5"/>
      <c r="BF22" s="19" t="s">
        <v>328</v>
      </c>
      <c r="BG22" s="257">
        <v>19760</v>
      </c>
      <c r="BH22" s="254" t="s">
        <v>329</v>
      </c>
      <c r="BI22" s="5"/>
      <c r="BJ22" s="5"/>
      <c r="BK22" s="5"/>
      <c r="BL22" s="5"/>
      <c r="BM22" s="5"/>
      <c r="BN22" s="215"/>
      <c r="BO22" s="5"/>
      <c r="BP22" s="5"/>
      <c r="BQ22" s="5"/>
    </row>
    <row r="23" spans="1:69" x14ac:dyDescent="0.25">
      <c r="B23" s="142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5"/>
      <c r="N23" s="216"/>
      <c r="O23" s="216"/>
      <c r="P23" s="217"/>
      <c r="Q23" s="217"/>
      <c r="R23" s="216"/>
      <c r="S23" s="216"/>
      <c r="T23" s="217"/>
      <c r="U23" s="217"/>
      <c r="V23" s="217"/>
      <c r="W23" s="217"/>
      <c r="X23" s="216"/>
      <c r="Y23" s="216"/>
      <c r="Z23" s="217"/>
      <c r="AA23" s="218"/>
      <c r="AB23" s="219"/>
      <c r="AC23" s="219"/>
      <c r="AD23" s="220"/>
      <c r="AE23" s="220"/>
      <c r="AF23" s="219"/>
      <c r="AG23" s="221"/>
      <c r="AH23" s="222"/>
      <c r="AI23" s="222"/>
      <c r="AJ23" s="223"/>
      <c r="AK23" s="223"/>
      <c r="AL23" s="222"/>
      <c r="AM23" s="222"/>
      <c r="AN23" s="223"/>
      <c r="AO23" s="224"/>
      <c r="AP23" s="217"/>
      <c r="AQ23" s="217"/>
      <c r="AR23" s="216"/>
      <c r="AS23" s="216"/>
      <c r="AT23" s="217"/>
      <c r="AU23" s="217"/>
      <c r="AV23" s="216"/>
      <c r="AW23" s="216"/>
      <c r="AX23" s="225"/>
      <c r="AY23" s="215"/>
      <c r="AZ23" s="217"/>
      <c r="BA23" s="215"/>
      <c r="BD23" s="55"/>
      <c r="BF23" s="19" t="s">
        <v>330</v>
      </c>
      <c r="BG23" s="257">
        <v>2930</v>
      </c>
      <c r="BH23" s="254" t="s">
        <v>331</v>
      </c>
      <c r="BN23" s="215"/>
    </row>
    <row r="24" spans="1:69" x14ac:dyDescent="0.25">
      <c r="A24" s="142">
        <v>50301</v>
      </c>
      <c r="B24" s="142" t="s">
        <v>54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>
        <f t="shared" ref="L24:L78" si="5">SUM(C24:K24)</f>
        <v>0</v>
      </c>
      <c r="M24" s="215"/>
      <c r="N24" s="216"/>
      <c r="O24" s="216"/>
      <c r="P24" s="217"/>
      <c r="Q24" s="217"/>
      <c r="R24" s="216"/>
      <c r="S24" s="216"/>
      <c r="T24" s="217"/>
      <c r="U24" s="217"/>
      <c r="V24" s="217"/>
      <c r="W24" s="217"/>
      <c r="X24" s="216"/>
      <c r="Y24" s="216"/>
      <c r="Z24" s="217"/>
      <c r="AA24" s="218"/>
      <c r="AB24" s="219"/>
      <c r="AC24" s="219"/>
      <c r="AD24" s="220"/>
      <c r="AE24" s="220"/>
      <c r="AF24" s="219"/>
      <c r="AG24" s="221"/>
      <c r="AH24" s="222"/>
      <c r="AI24" s="222"/>
      <c r="AJ24" s="223"/>
      <c r="AK24" s="223"/>
      <c r="AL24" s="222"/>
      <c r="AM24" s="222"/>
      <c r="AN24" s="223"/>
      <c r="AO24" s="224"/>
      <c r="AP24" s="217"/>
      <c r="AQ24" s="217"/>
      <c r="AR24" s="216"/>
      <c r="AS24" s="216"/>
      <c r="AT24" s="217"/>
      <c r="AU24" s="217"/>
      <c r="AV24" s="216"/>
      <c r="AW24" s="216"/>
      <c r="AX24" s="225">
        <f t="shared" ref="AX24:AX55" si="6">SUM(N24:AW24)</f>
        <v>0</v>
      </c>
      <c r="AY24" s="215"/>
      <c r="AZ24" s="217"/>
      <c r="BA24" s="215"/>
      <c r="BB24" s="8">
        <f t="shared" ref="BB24:BB79" si="7">L24+AX24+AZ24</f>
        <v>0</v>
      </c>
      <c r="BD24" s="55"/>
      <c r="BF24" s="19" t="s">
        <v>332</v>
      </c>
      <c r="BG24" s="255">
        <v>2500</v>
      </c>
      <c r="BH24" s="254" t="s">
        <v>333</v>
      </c>
      <c r="BN24" s="215"/>
    </row>
    <row r="25" spans="1:69" x14ac:dyDescent="0.25">
      <c r="A25" s="142">
        <v>50302</v>
      </c>
      <c r="B25" s="142" t="s">
        <v>55</v>
      </c>
      <c r="C25" s="217"/>
      <c r="D25" s="217"/>
      <c r="E25" s="217"/>
      <c r="F25" s="217">
        <v>2000</v>
      </c>
      <c r="G25" s="217"/>
      <c r="H25" s="217">
        <v>79600</v>
      </c>
      <c r="I25" s="217"/>
      <c r="J25" s="217">
        <v>10000</v>
      </c>
      <c r="K25" s="217"/>
      <c r="L25" s="217">
        <f t="shared" si="5"/>
        <v>91600</v>
      </c>
      <c r="M25" s="215"/>
      <c r="N25" s="216"/>
      <c r="O25" s="216"/>
      <c r="P25" s="217"/>
      <c r="Q25" s="217"/>
      <c r="R25" s="216"/>
      <c r="S25" s="216"/>
      <c r="T25" s="217"/>
      <c r="U25" s="217"/>
      <c r="V25" s="217"/>
      <c r="W25" s="217"/>
      <c r="X25" s="216"/>
      <c r="Y25" s="216">
        <v>9600</v>
      </c>
      <c r="Z25" s="217"/>
      <c r="AA25" s="218"/>
      <c r="AB25" s="219"/>
      <c r="AC25" s="219"/>
      <c r="AD25" s="220"/>
      <c r="AE25" s="220"/>
      <c r="AF25" s="219"/>
      <c r="AG25" s="221"/>
      <c r="AH25" s="222"/>
      <c r="AI25" s="222"/>
      <c r="AJ25" s="223"/>
      <c r="AK25" s="223"/>
      <c r="AL25" s="222"/>
      <c r="AM25" s="222"/>
      <c r="AN25" s="223"/>
      <c r="AO25" s="224"/>
      <c r="AP25" s="217"/>
      <c r="AQ25" s="217"/>
      <c r="AR25" s="216"/>
      <c r="AS25" s="216"/>
      <c r="AT25" s="217"/>
      <c r="AU25" s="217"/>
      <c r="AV25" s="216"/>
      <c r="AW25" s="216"/>
      <c r="AX25" s="225">
        <f t="shared" si="6"/>
        <v>9600</v>
      </c>
      <c r="AY25" s="215"/>
      <c r="AZ25" s="217"/>
      <c r="BA25" s="215"/>
      <c r="BB25" s="8">
        <f t="shared" si="7"/>
        <v>101200</v>
      </c>
      <c r="BD25" s="55"/>
      <c r="BF25" s="23" t="s">
        <v>334</v>
      </c>
      <c r="BG25" s="253">
        <f>SUM(BG20:BG24)</f>
        <v>106190</v>
      </c>
      <c r="BH25" s="264"/>
      <c r="BN25" s="215"/>
    </row>
    <row r="26" spans="1:69" x14ac:dyDescent="0.25">
      <c r="A26" s="142">
        <v>50305</v>
      </c>
      <c r="B26" s="142" t="s">
        <v>56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>
        <f t="shared" si="5"/>
        <v>0</v>
      </c>
      <c r="M26" s="215"/>
      <c r="N26" s="216"/>
      <c r="O26" s="216"/>
      <c r="P26" s="217"/>
      <c r="Q26" s="217"/>
      <c r="R26" s="216"/>
      <c r="S26" s="216"/>
      <c r="T26" s="217"/>
      <c r="U26" s="217"/>
      <c r="V26" s="217"/>
      <c r="W26" s="217"/>
      <c r="X26" s="216"/>
      <c r="Y26" s="216"/>
      <c r="Z26" s="217"/>
      <c r="AA26" s="218"/>
      <c r="AB26" s="219"/>
      <c r="AC26" s="219"/>
      <c r="AD26" s="220"/>
      <c r="AE26" s="220"/>
      <c r="AF26" s="219"/>
      <c r="AG26" s="221"/>
      <c r="AH26" s="222"/>
      <c r="AI26" s="222"/>
      <c r="AJ26" s="223"/>
      <c r="AK26" s="223"/>
      <c r="AL26" s="222"/>
      <c r="AM26" s="222"/>
      <c r="AN26" s="223"/>
      <c r="AO26" s="224"/>
      <c r="AP26" s="217"/>
      <c r="AQ26" s="217"/>
      <c r="AR26" s="216"/>
      <c r="AS26" s="216"/>
      <c r="AT26" s="217"/>
      <c r="AU26" s="217"/>
      <c r="AV26" s="216">
        <v>4800</v>
      </c>
      <c r="AW26" s="216"/>
      <c r="AX26" s="225">
        <f t="shared" si="6"/>
        <v>4800</v>
      </c>
      <c r="AY26" s="215"/>
      <c r="AZ26" s="217"/>
      <c r="BA26" s="215"/>
      <c r="BB26" s="8">
        <f t="shared" si="7"/>
        <v>4800</v>
      </c>
      <c r="BD26" s="55"/>
      <c r="BF26" s="23"/>
      <c r="BG26" s="253"/>
      <c r="BH26" s="264"/>
      <c r="BN26" s="259"/>
    </row>
    <row r="27" spans="1:69" x14ac:dyDescent="0.25">
      <c r="A27" s="142">
        <v>50306</v>
      </c>
      <c r="B27" s="142" t="s">
        <v>57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>
        <f t="shared" si="5"/>
        <v>0</v>
      </c>
      <c r="M27" s="215"/>
      <c r="N27" s="216"/>
      <c r="O27" s="216"/>
      <c r="P27" s="217"/>
      <c r="Q27" s="217"/>
      <c r="R27" s="216"/>
      <c r="S27" s="216"/>
      <c r="T27" s="217"/>
      <c r="U27" s="217"/>
      <c r="V27" s="217"/>
      <c r="W27" s="217"/>
      <c r="X27" s="216">
        <v>25200</v>
      </c>
      <c r="Y27" s="216"/>
      <c r="Z27" s="217"/>
      <c r="AA27" s="218"/>
      <c r="AB27" s="219"/>
      <c r="AC27" s="219"/>
      <c r="AD27" s="220"/>
      <c r="AE27" s="220"/>
      <c r="AF27" s="219"/>
      <c r="AG27" s="221"/>
      <c r="AH27" s="222"/>
      <c r="AI27" s="222"/>
      <c r="AJ27" s="223"/>
      <c r="AK27" s="223"/>
      <c r="AL27" s="222"/>
      <c r="AM27" s="222"/>
      <c r="AN27" s="223"/>
      <c r="AO27" s="224"/>
      <c r="AP27" s="217"/>
      <c r="AQ27" s="217"/>
      <c r="AR27" s="216"/>
      <c r="AS27" s="216"/>
      <c r="AT27" s="217">
        <v>5000</v>
      </c>
      <c r="AU27" s="217"/>
      <c r="AV27" s="216">
        <v>15000</v>
      </c>
      <c r="AW27" s="216"/>
      <c r="AX27" s="225">
        <f t="shared" si="6"/>
        <v>45200</v>
      </c>
      <c r="AY27" s="215"/>
      <c r="AZ27" s="217"/>
      <c r="BA27" s="215"/>
      <c r="BB27" s="8">
        <f t="shared" si="7"/>
        <v>45200</v>
      </c>
      <c r="BD27" s="55"/>
      <c r="BF27" s="39" t="s">
        <v>335</v>
      </c>
      <c r="BG27" s="39" t="s">
        <v>316</v>
      </c>
      <c r="BH27" s="252" t="s">
        <v>317</v>
      </c>
      <c r="BN27" s="215"/>
    </row>
    <row r="28" spans="1:69" x14ac:dyDescent="0.25">
      <c r="A28" s="142">
        <v>50307</v>
      </c>
      <c r="B28" s="142" t="s">
        <v>58</v>
      </c>
      <c r="C28" s="217"/>
      <c r="D28" s="217"/>
      <c r="E28" s="217"/>
      <c r="F28" s="217">
        <v>15600</v>
      </c>
      <c r="G28" s="217"/>
      <c r="H28" s="217"/>
      <c r="I28" s="217"/>
      <c r="J28" s="217">
        <v>2400</v>
      </c>
      <c r="K28" s="217"/>
      <c r="L28" s="217">
        <f t="shared" si="5"/>
        <v>18000</v>
      </c>
      <c r="M28" s="215"/>
      <c r="N28" s="216"/>
      <c r="O28" s="216"/>
      <c r="P28" s="217"/>
      <c r="Q28" s="217"/>
      <c r="R28" s="216"/>
      <c r="S28" s="216"/>
      <c r="T28" s="217"/>
      <c r="U28" s="217"/>
      <c r="V28" s="217"/>
      <c r="W28" s="217"/>
      <c r="X28" s="216"/>
      <c r="Y28" s="216">
        <v>40440</v>
      </c>
      <c r="Z28" s="217"/>
      <c r="AA28" s="218"/>
      <c r="AB28" s="219"/>
      <c r="AC28" s="219"/>
      <c r="AD28" s="220"/>
      <c r="AE28" s="220"/>
      <c r="AF28" s="219"/>
      <c r="AG28" s="221"/>
      <c r="AH28" s="222"/>
      <c r="AI28" s="222"/>
      <c r="AJ28" s="223"/>
      <c r="AK28" s="223"/>
      <c r="AL28" s="222"/>
      <c r="AM28" s="222"/>
      <c r="AN28" s="223"/>
      <c r="AO28" s="224"/>
      <c r="AP28" s="217"/>
      <c r="AQ28" s="217"/>
      <c r="AR28" s="216"/>
      <c r="AS28" s="216"/>
      <c r="AT28" s="217"/>
      <c r="AU28" s="217"/>
      <c r="AV28" s="216"/>
      <c r="AW28" s="216"/>
      <c r="AX28" s="225">
        <f t="shared" si="6"/>
        <v>40440</v>
      </c>
      <c r="AY28" s="215"/>
      <c r="AZ28" s="217"/>
      <c r="BA28" s="215"/>
      <c r="BB28" s="8">
        <f t="shared" si="7"/>
        <v>58440</v>
      </c>
      <c r="BD28" s="55"/>
      <c r="BF28" s="23" t="s">
        <v>336</v>
      </c>
      <c r="BG28" s="253">
        <v>53340</v>
      </c>
      <c r="BH28" s="254" t="s">
        <v>337</v>
      </c>
      <c r="BN28" s="215"/>
    </row>
    <row r="29" spans="1:69" x14ac:dyDescent="0.25">
      <c r="A29" s="142">
        <v>50308</v>
      </c>
      <c r="B29" s="142" t="s">
        <v>59</v>
      </c>
      <c r="C29" s="217"/>
      <c r="D29" s="217"/>
      <c r="E29" s="217"/>
      <c r="F29" s="217">
        <v>67920</v>
      </c>
      <c r="G29" s="217"/>
      <c r="H29" s="217"/>
      <c r="I29" s="217"/>
      <c r="J29" s="217"/>
      <c r="K29" s="217"/>
      <c r="L29" s="217">
        <f t="shared" si="5"/>
        <v>67920</v>
      </c>
      <c r="M29" s="215"/>
      <c r="N29" s="216"/>
      <c r="O29" s="216"/>
      <c r="P29" s="217"/>
      <c r="Q29" s="217"/>
      <c r="R29" s="216"/>
      <c r="S29" s="216"/>
      <c r="T29" s="217"/>
      <c r="U29" s="217"/>
      <c r="V29" s="217"/>
      <c r="W29" s="217"/>
      <c r="X29" s="216"/>
      <c r="Y29" s="216"/>
      <c r="Z29" s="217"/>
      <c r="AA29" s="218"/>
      <c r="AB29" s="219"/>
      <c r="AC29" s="219"/>
      <c r="AD29" s="220"/>
      <c r="AE29" s="220"/>
      <c r="AF29" s="219"/>
      <c r="AG29" s="221"/>
      <c r="AH29" s="222"/>
      <c r="AI29" s="222"/>
      <c r="AJ29" s="223"/>
      <c r="AK29" s="223"/>
      <c r="AL29" s="222"/>
      <c r="AM29" s="222"/>
      <c r="AN29" s="223"/>
      <c r="AO29" s="224"/>
      <c r="AP29" s="217"/>
      <c r="AQ29" s="217"/>
      <c r="AR29" s="216"/>
      <c r="AS29" s="216"/>
      <c r="AT29" s="217"/>
      <c r="AU29" s="217"/>
      <c r="AV29" s="216"/>
      <c r="AW29" s="216"/>
      <c r="AX29" s="225">
        <f t="shared" si="6"/>
        <v>0</v>
      </c>
      <c r="AY29" s="215"/>
      <c r="AZ29" s="217"/>
      <c r="BA29" s="215"/>
      <c r="BB29" s="8">
        <f t="shared" si="7"/>
        <v>67920</v>
      </c>
      <c r="BD29" s="55"/>
      <c r="BE29" s="13"/>
      <c r="BF29" s="19" t="s">
        <v>338</v>
      </c>
      <c r="BG29" s="255">
        <v>179800</v>
      </c>
      <c r="BH29" s="254" t="s">
        <v>339</v>
      </c>
      <c r="BN29" s="215"/>
    </row>
    <row r="30" spans="1:69" x14ac:dyDescent="0.25">
      <c r="A30" s="142">
        <v>50309</v>
      </c>
      <c r="B30" s="142" t="s">
        <v>60</v>
      </c>
      <c r="C30" s="217">
        <v>305479</v>
      </c>
      <c r="D30" s="217"/>
      <c r="E30" s="217">
        <v>11000</v>
      </c>
      <c r="F30" s="217">
        <f>184500+30000</f>
        <v>214500</v>
      </c>
      <c r="G30" s="217">
        <f>245000+51000</f>
        <v>296000</v>
      </c>
      <c r="H30" s="217">
        <v>125500</v>
      </c>
      <c r="I30" s="217"/>
      <c r="J30" s="217">
        <f>45000-15000</f>
        <v>30000</v>
      </c>
      <c r="K30" s="217">
        <v>37000</v>
      </c>
      <c r="L30" s="217">
        <f t="shared" si="5"/>
        <v>1019479</v>
      </c>
      <c r="M30" s="215"/>
      <c r="N30" s="216"/>
      <c r="O30" s="216"/>
      <c r="P30" s="217"/>
      <c r="Q30" s="217"/>
      <c r="R30" s="216"/>
      <c r="S30" s="216"/>
      <c r="T30" s="217"/>
      <c r="U30" s="217"/>
      <c r="V30" s="217"/>
      <c r="W30" s="217"/>
      <c r="X30" s="216">
        <v>275000</v>
      </c>
      <c r="Y30" s="216"/>
      <c r="Z30" s="217"/>
      <c r="AA30" s="218"/>
      <c r="AB30" s="219"/>
      <c r="AC30" s="219"/>
      <c r="AD30" s="220"/>
      <c r="AE30" s="220"/>
      <c r="AF30" s="219"/>
      <c r="AG30" s="221"/>
      <c r="AH30" s="222"/>
      <c r="AI30" s="222"/>
      <c r="AJ30" s="223"/>
      <c r="AK30" s="223"/>
      <c r="AL30" s="222"/>
      <c r="AM30" s="222"/>
      <c r="AN30" s="223"/>
      <c r="AO30" s="224"/>
      <c r="AP30" s="217"/>
      <c r="AQ30" s="217"/>
      <c r="AR30" s="216"/>
      <c r="AS30" s="216"/>
      <c r="AT30" s="217"/>
      <c r="AU30" s="217"/>
      <c r="AV30" s="216">
        <v>10000</v>
      </c>
      <c r="AW30" s="216"/>
      <c r="AX30" s="225">
        <f t="shared" si="6"/>
        <v>285000</v>
      </c>
      <c r="AY30" s="215"/>
      <c r="AZ30" s="217">
        <v>30000</v>
      </c>
      <c r="BA30" s="215"/>
      <c r="BB30" s="8">
        <f t="shared" si="7"/>
        <v>1334479</v>
      </c>
      <c r="BD30" s="55"/>
      <c r="BE30" s="13"/>
      <c r="BF30" s="23" t="s">
        <v>334</v>
      </c>
      <c r="BG30" s="253">
        <f>SUM(BG28:BG29)</f>
        <v>233140</v>
      </c>
      <c r="BH30" s="254"/>
      <c r="BN30" s="215"/>
    </row>
    <row r="31" spans="1:69" x14ac:dyDescent="0.25">
      <c r="A31" s="142">
        <v>50310</v>
      </c>
      <c r="B31" s="142" t="s">
        <v>61</v>
      </c>
      <c r="C31" s="217"/>
      <c r="D31" s="217">
        <v>20930</v>
      </c>
      <c r="E31" s="217"/>
      <c r="F31" s="217">
        <v>12000</v>
      </c>
      <c r="G31" s="217">
        <v>1500</v>
      </c>
      <c r="H31" s="217">
        <v>2000</v>
      </c>
      <c r="I31" s="217"/>
      <c r="J31" s="217">
        <v>1500</v>
      </c>
      <c r="K31" s="217">
        <f>+BG20</f>
        <v>30000</v>
      </c>
      <c r="L31" s="217">
        <f t="shared" si="5"/>
        <v>67930</v>
      </c>
      <c r="M31" s="215"/>
      <c r="N31" s="216"/>
      <c r="O31" s="216"/>
      <c r="P31" s="217"/>
      <c r="Q31" s="217"/>
      <c r="R31" s="216"/>
      <c r="S31" s="216"/>
      <c r="T31" s="217"/>
      <c r="U31" s="217"/>
      <c r="V31" s="217"/>
      <c r="W31" s="217"/>
      <c r="X31" s="216">
        <f>81300-Y31</f>
        <v>36300</v>
      </c>
      <c r="Y31" s="216">
        <v>45000</v>
      </c>
      <c r="Z31" s="217"/>
      <c r="AA31" s="218"/>
      <c r="AB31" s="219"/>
      <c r="AC31" s="219"/>
      <c r="AD31" s="220"/>
      <c r="AE31" s="220"/>
      <c r="AF31" s="219"/>
      <c r="AG31" s="221"/>
      <c r="AH31" s="222"/>
      <c r="AI31" s="222"/>
      <c r="AJ31" s="223"/>
      <c r="AK31" s="223"/>
      <c r="AL31" s="222"/>
      <c r="AM31" s="222"/>
      <c r="AN31" s="223"/>
      <c r="AO31" s="224"/>
      <c r="AP31" s="217"/>
      <c r="AQ31" s="217"/>
      <c r="AR31" s="216">
        <v>6960</v>
      </c>
      <c r="AS31" s="216"/>
      <c r="AT31" s="217"/>
      <c r="AU31" s="217"/>
      <c r="AV31" s="216">
        <v>33200</v>
      </c>
      <c r="AW31" s="216"/>
      <c r="AX31" s="225">
        <f t="shared" si="6"/>
        <v>121460</v>
      </c>
      <c r="AY31" s="215"/>
      <c r="AZ31" s="217">
        <v>120000</v>
      </c>
      <c r="BA31" s="215"/>
      <c r="BB31" s="8">
        <f t="shared" si="7"/>
        <v>309390</v>
      </c>
      <c r="BD31" s="55"/>
      <c r="BE31" s="13"/>
      <c r="BF31" s="19"/>
      <c r="BG31" s="257"/>
      <c r="BH31" s="254"/>
      <c r="BN31" s="215"/>
    </row>
    <row r="32" spans="1:69" x14ac:dyDescent="0.25">
      <c r="A32" s="142">
        <v>50311</v>
      </c>
      <c r="B32" s="142" t="s">
        <v>62</v>
      </c>
      <c r="C32" s="217"/>
      <c r="D32" s="217">
        <v>16500</v>
      </c>
      <c r="E32" s="217"/>
      <c r="F32" s="217">
        <v>3500</v>
      </c>
      <c r="G32" s="217">
        <v>3000</v>
      </c>
      <c r="H32" s="217">
        <v>86500</v>
      </c>
      <c r="I32" s="217">
        <v>18066</v>
      </c>
      <c r="J32" s="217">
        <v>500</v>
      </c>
      <c r="K32" s="217"/>
      <c r="L32" s="217">
        <f t="shared" si="5"/>
        <v>128066</v>
      </c>
      <c r="M32" s="215"/>
      <c r="N32" s="216"/>
      <c r="O32" s="216"/>
      <c r="P32" s="217"/>
      <c r="Q32" s="217"/>
      <c r="R32" s="216"/>
      <c r="S32" s="216"/>
      <c r="T32" s="217"/>
      <c r="U32" s="217"/>
      <c r="V32" s="217"/>
      <c r="W32" s="217"/>
      <c r="X32" s="216">
        <v>10560</v>
      </c>
      <c r="Y32" s="216"/>
      <c r="Z32" s="217"/>
      <c r="AA32" s="218"/>
      <c r="AB32" s="219"/>
      <c r="AC32" s="219"/>
      <c r="AD32" s="220"/>
      <c r="AE32" s="220"/>
      <c r="AF32" s="219"/>
      <c r="AG32" s="221"/>
      <c r="AH32" s="222">
        <v>3000</v>
      </c>
      <c r="AI32" s="222"/>
      <c r="AJ32" s="223"/>
      <c r="AK32" s="223"/>
      <c r="AL32" s="222"/>
      <c r="AM32" s="222"/>
      <c r="AN32" s="223"/>
      <c r="AO32" s="224"/>
      <c r="AP32" s="217"/>
      <c r="AQ32" s="217"/>
      <c r="AR32" s="216">
        <v>1584</v>
      </c>
      <c r="AS32" s="216"/>
      <c r="AT32" s="217"/>
      <c r="AU32" s="217"/>
      <c r="AV32" s="216">
        <v>2400</v>
      </c>
      <c r="AW32" s="216"/>
      <c r="AX32" s="225">
        <f t="shared" si="6"/>
        <v>17544</v>
      </c>
      <c r="AY32" s="215"/>
      <c r="AZ32" s="217">
        <v>3000</v>
      </c>
      <c r="BA32" s="215"/>
      <c r="BB32" s="8">
        <f t="shared" si="7"/>
        <v>148610</v>
      </c>
      <c r="BD32" s="265"/>
      <c r="BE32" s="13"/>
      <c r="BF32" s="23" t="s">
        <v>340</v>
      </c>
      <c r="BG32" s="33">
        <f>+BG25+BG17+BG30</f>
        <v>439330</v>
      </c>
      <c r="BH32" s="251"/>
      <c r="BN32" s="259"/>
    </row>
    <row r="33" spans="1:67" x14ac:dyDescent="0.25">
      <c r="A33" s="142">
        <v>50312</v>
      </c>
      <c r="B33" s="142" t="s">
        <v>63</v>
      </c>
      <c r="C33" s="217"/>
      <c r="D33" s="217"/>
      <c r="E33" s="217"/>
      <c r="F33" s="217"/>
      <c r="G33" s="217"/>
      <c r="H33" s="217">
        <v>44600</v>
      </c>
      <c r="I33" s="217"/>
      <c r="J33" s="217"/>
      <c r="K33" s="217"/>
      <c r="L33" s="217">
        <f t="shared" si="5"/>
        <v>44600</v>
      </c>
      <c r="M33" s="215"/>
      <c r="N33" s="216"/>
      <c r="O33" s="216"/>
      <c r="P33" s="217"/>
      <c r="Q33" s="217"/>
      <c r="R33" s="216"/>
      <c r="S33" s="216"/>
      <c r="T33" s="217"/>
      <c r="U33" s="217"/>
      <c r="V33" s="217"/>
      <c r="W33" s="217"/>
      <c r="X33" s="216"/>
      <c r="Y33" s="216"/>
      <c r="Z33" s="217"/>
      <c r="AA33" s="218"/>
      <c r="AB33" s="219"/>
      <c r="AC33" s="219"/>
      <c r="AD33" s="220"/>
      <c r="AE33" s="220"/>
      <c r="AF33" s="219"/>
      <c r="AG33" s="221"/>
      <c r="AH33" s="222"/>
      <c r="AI33" s="222"/>
      <c r="AJ33" s="223"/>
      <c r="AK33" s="223"/>
      <c r="AL33" s="222"/>
      <c r="AM33" s="222"/>
      <c r="AN33" s="223"/>
      <c r="AO33" s="224"/>
      <c r="AP33" s="217"/>
      <c r="AQ33" s="217"/>
      <c r="AR33" s="216"/>
      <c r="AS33" s="216"/>
      <c r="AT33" s="217"/>
      <c r="AU33" s="217"/>
      <c r="AV33" s="216"/>
      <c r="AW33" s="216"/>
      <c r="AX33" s="225">
        <f t="shared" si="6"/>
        <v>0</v>
      </c>
      <c r="AY33" s="215"/>
      <c r="AZ33" s="217"/>
      <c r="BA33" s="215"/>
      <c r="BB33" s="8">
        <f t="shared" si="7"/>
        <v>44600</v>
      </c>
      <c r="BD33" s="266"/>
      <c r="BE33" s="267"/>
      <c r="BF33" s="267"/>
      <c r="BG33" s="267"/>
      <c r="BH33" s="268"/>
      <c r="BN33" s="215"/>
    </row>
    <row r="34" spans="1:67" x14ac:dyDescent="0.25">
      <c r="A34" s="142">
        <v>50313</v>
      </c>
      <c r="B34" s="142" t="s">
        <v>64</v>
      </c>
      <c r="E34" s="217"/>
      <c r="F34" s="217">
        <v>120250</v>
      </c>
      <c r="G34" s="217">
        <v>6000</v>
      </c>
      <c r="H34" s="217">
        <v>75019</v>
      </c>
      <c r="I34" s="217">
        <v>27000</v>
      </c>
      <c r="J34" s="217">
        <v>1200</v>
      </c>
      <c r="K34" s="217">
        <v>177296</v>
      </c>
      <c r="L34" s="217">
        <f t="shared" si="5"/>
        <v>406765</v>
      </c>
      <c r="M34" s="215"/>
      <c r="N34" s="216"/>
      <c r="O34" s="216"/>
      <c r="P34" s="217"/>
      <c r="Q34" s="217"/>
      <c r="R34" s="216"/>
      <c r="S34" s="216"/>
      <c r="T34" s="217"/>
      <c r="U34" s="217"/>
      <c r="V34" s="217"/>
      <c r="W34" s="217"/>
      <c r="X34" s="216">
        <v>95500</v>
      </c>
      <c r="Y34" s="216"/>
      <c r="Z34" s="217"/>
      <c r="AA34" s="218">
        <v>66280</v>
      </c>
      <c r="AB34" s="219"/>
      <c r="AC34" s="219"/>
      <c r="AD34" s="220"/>
      <c r="AE34" s="220"/>
      <c r="AF34" s="219"/>
      <c r="AG34" s="221"/>
      <c r="AH34" s="222">
        <v>76500</v>
      </c>
      <c r="AI34" s="222"/>
      <c r="AJ34" s="223"/>
      <c r="AK34" s="223"/>
      <c r="AL34" s="222"/>
      <c r="AM34" s="222"/>
      <c r="AN34" s="223"/>
      <c r="AO34" s="224"/>
      <c r="AP34" s="217"/>
      <c r="AQ34" s="217"/>
      <c r="AR34" s="216">
        <v>300</v>
      </c>
      <c r="AS34" s="216"/>
      <c r="AT34" s="217"/>
      <c r="AU34" s="217"/>
      <c r="AV34" s="216">
        <v>52970</v>
      </c>
      <c r="AW34" s="216"/>
      <c r="AX34" s="225">
        <f t="shared" si="6"/>
        <v>291550</v>
      </c>
      <c r="AY34" s="215"/>
      <c r="AZ34" s="217">
        <v>14500</v>
      </c>
      <c r="BA34" s="215"/>
      <c r="BB34" s="8">
        <f t="shared" si="7"/>
        <v>712815</v>
      </c>
      <c r="BE34" s="269"/>
      <c r="BN34" s="215"/>
    </row>
    <row r="35" spans="1:67" x14ac:dyDescent="0.25">
      <c r="A35" s="142">
        <v>50315</v>
      </c>
      <c r="B35" s="142" t="s">
        <v>65</v>
      </c>
      <c r="C35" s="217">
        <v>110000</v>
      </c>
      <c r="D35" s="217"/>
      <c r="E35" s="217"/>
      <c r="F35" s="217"/>
      <c r="G35" s="217"/>
      <c r="H35" s="217"/>
      <c r="I35" s="217"/>
      <c r="J35" s="217"/>
      <c r="K35" s="217"/>
      <c r="L35" s="217">
        <f t="shared" si="5"/>
        <v>110000</v>
      </c>
      <c r="M35" s="215"/>
      <c r="N35" s="216"/>
      <c r="O35" s="216"/>
      <c r="P35" s="217"/>
      <c r="Q35" s="217"/>
      <c r="R35" s="216"/>
      <c r="S35" s="216"/>
      <c r="T35" s="217"/>
      <c r="U35" s="217"/>
      <c r="V35" s="217"/>
      <c r="W35" s="217"/>
      <c r="X35" s="216"/>
      <c r="Y35" s="216"/>
      <c r="Z35" s="217"/>
      <c r="AA35" s="218"/>
      <c r="AB35" s="219"/>
      <c r="AC35" s="219"/>
      <c r="AD35" s="220"/>
      <c r="AE35" s="220"/>
      <c r="AF35" s="219"/>
      <c r="AG35" s="221"/>
      <c r="AH35" s="222"/>
      <c r="AI35" s="222"/>
      <c r="AJ35" s="223"/>
      <c r="AK35" s="223"/>
      <c r="AL35" s="222"/>
      <c r="AM35" s="222"/>
      <c r="AN35" s="223"/>
      <c r="AO35" s="224"/>
      <c r="AP35" s="217"/>
      <c r="AQ35" s="217"/>
      <c r="AR35" s="216"/>
      <c r="AS35" s="216"/>
      <c r="AT35" s="217"/>
      <c r="AU35" s="217"/>
      <c r="AV35" s="216"/>
      <c r="AW35" s="216"/>
      <c r="AX35" s="225">
        <f t="shared" si="6"/>
        <v>0</v>
      </c>
      <c r="AY35" s="215"/>
      <c r="AZ35" s="217"/>
      <c r="BA35" s="215"/>
      <c r="BB35" s="8">
        <f t="shared" si="7"/>
        <v>110000</v>
      </c>
      <c r="BE35" s="269"/>
      <c r="BN35" s="215"/>
    </row>
    <row r="36" spans="1:67" x14ac:dyDescent="0.25">
      <c r="A36" s="142">
        <v>50316</v>
      </c>
      <c r="B36" s="142" t="s">
        <v>66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>
        <f t="shared" si="5"/>
        <v>0</v>
      </c>
      <c r="M36" s="215"/>
      <c r="N36" s="216"/>
      <c r="O36" s="216"/>
      <c r="P36" s="217"/>
      <c r="Q36" s="217"/>
      <c r="R36" s="216"/>
      <c r="S36" s="216"/>
      <c r="T36" s="217"/>
      <c r="U36" s="217"/>
      <c r="V36" s="217"/>
      <c r="W36" s="217"/>
      <c r="X36" s="216"/>
      <c r="Y36" s="216"/>
      <c r="Z36" s="217"/>
      <c r="AA36" s="218"/>
      <c r="AB36" s="219"/>
      <c r="AC36" s="219"/>
      <c r="AD36" s="220"/>
      <c r="AE36" s="220"/>
      <c r="AF36" s="219"/>
      <c r="AG36" s="221"/>
      <c r="AH36" s="222"/>
      <c r="AI36" s="222"/>
      <c r="AJ36" s="223"/>
      <c r="AK36" s="223"/>
      <c r="AL36" s="222"/>
      <c r="AM36" s="222"/>
      <c r="AN36" s="223"/>
      <c r="AO36" s="224"/>
      <c r="AP36" s="217">
        <v>7650</v>
      </c>
      <c r="AQ36" s="217"/>
      <c r="AR36" s="216"/>
      <c r="AS36" s="216"/>
      <c r="AT36" s="217"/>
      <c r="AU36" s="217"/>
      <c r="AV36" s="216">
        <v>134140</v>
      </c>
      <c r="AW36" s="216"/>
      <c r="AX36" s="225">
        <f t="shared" si="6"/>
        <v>141790</v>
      </c>
      <c r="AY36" s="215"/>
      <c r="AZ36" s="217">
        <v>1000</v>
      </c>
      <c r="BA36" s="215"/>
      <c r="BB36" s="8">
        <f t="shared" si="7"/>
        <v>142790</v>
      </c>
      <c r="BE36" s="269"/>
      <c r="BN36" s="259"/>
    </row>
    <row r="37" spans="1:67" x14ac:dyDescent="0.25">
      <c r="A37" s="142">
        <v>50317</v>
      </c>
      <c r="B37" s="142" t="s">
        <v>67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>
        <f t="shared" si="5"/>
        <v>0</v>
      </c>
      <c r="M37" s="215"/>
      <c r="N37" s="216"/>
      <c r="O37" s="216"/>
      <c r="P37" s="217"/>
      <c r="Q37" s="217"/>
      <c r="R37" s="216"/>
      <c r="S37" s="216"/>
      <c r="T37" s="217"/>
      <c r="U37" s="217"/>
      <c r="V37" s="217"/>
      <c r="W37" s="217"/>
      <c r="X37" s="216">
        <v>8400</v>
      </c>
      <c r="Y37" s="216"/>
      <c r="Z37" s="217"/>
      <c r="AA37" s="218"/>
      <c r="AB37" s="219"/>
      <c r="AC37" s="219"/>
      <c r="AD37" s="220"/>
      <c r="AE37" s="220"/>
      <c r="AF37" s="219"/>
      <c r="AG37" s="221"/>
      <c r="AH37" s="222"/>
      <c r="AI37" s="222"/>
      <c r="AJ37" s="223"/>
      <c r="AK37" s="223"/>
      <c r="AL37" s="222"/>
      <c r="AM37" s="222"/>
      <c r="AN37" s="223"/>
      <c r="AO37" s="224"/>
      <c r="AP37" s="217"/>
      <c r="AQ37" s="217"/>
      <c r="AR37" s="216"/>
      <c r="AS37" s="216"/>
      <c r="AT37" s="217"/>
      <c r="AU37" s="217"/>
      <c r="AV37" s="216">
        <v>100000</v>
      </c>
      <c r="AW37" s="216"/>
      <c r="AX37" s="225">
        <f t="shared" si="6"/>
        <v>108400</v>
      </c>
      <c r="AY37" s="215"/>
      <c r="AZ37" s="217">
        <v>5000</v>
      </c>
      <c r="BA37" s="215"/>
      <c r="BB37" s="8">
        <f t="shared" si="7"/>
        <v>113400</v>
      </c>
      <c r="BE37" s="269"/>
      <c r="BN37" s="215"/>
    </row>
    <row r="38" spans="1:67" x14ac:dyDescent="0.25">
      <c r="A38" s="142">
        <v>50318</v>
      </c>
      <c r="B38" s="142" t="s">
        <v>68</v>
      </c>
      <c r="C38" s="217"/>
      <c r="D38" s="217">
        <v>13200</v>
      </c>
      <c r="E38" s="217"/>
      <c r="F38" s="217"/>
      <c r="G38" s="217"/>
      <c r="H38" s="217"/>
      <c r="I38" s="217"/>
      <c r="J38" s="217"/>
      <c r="K38" s="217"/>
      <c r="L38" s="217">
        <f t="shared" si="5"/>
        <v>13200</v>
      </c>
      <c r="M38" s="215"/>
      <c r="N38" s="216"/>
      <c r="O38" s="216"/>
      <c r="P38" s="217"/>
      <c r="Q38" s="217"/>
      <c r="R38" s="216"/>
      <c r="S38" s="216"/>
      <c r="T38" s="217"/>
      <c r="U38" s="217"/>
      <c r="V38" s="217"/>
      <c r="W38" s="217"/>
      <c r="X38" s="216">
        <v>129320</v>
      </c>
      <c r="Y38" s="216"/>
      <c r="Z38" s="217"/>
      <c r="AA38" s="218"/>
      <c r="AB38" s="219"/>
      <c r="AC38" s="219"/>
      <c r="AD38" s="220"/>
      <c r="AE38" s="220"/>
      <c r="AF38" s="219"/>
      <c r="AG38" s="221"/>
      <c r="AH38" s="222"/>
      <c r="AI38" s="222"/>
      <c r="AJ38" s="223"/>
      <c r="AK38" s="223"/>
      <c r="AL38" s="222"/>
      <c r="AM38" s="222"/>
      <c r="AN38" s="223"/>
      <c r="AO38" s="224"/>
      <c r="AP38" s="217"/>
      <c r="AQ38" s="217"/>
      <c r="AR38" s="216">
        <v>46020</v>
      </c>
      <c r="AS38" s="216"/>
      <c r="AT38" s="217"/>
      <c r="AU38" s="217"/>
      <c r="AV38" s="270">
        <v>3900</v>
      </c>
      <c r="AW38" s="270"/>
      <c r="AX38" s="225">
        <f t="shared" si="6"/>
        <v>179240</v>
      </c>
      <c r="AY38" s="215"/>
      <c r="AZ38" s="217">
        <v>102612</v>
      </c>
      <c r="BA38" s="215"/>
      <c r="BB38" s="8">
        <f t="shared" si="7"/>
        <v>295052</v>
      </c>
      <c r="BN38" s="259"/>
    </row>
    <row r="39" spans="1:67" x14ac:dyDescent="0.25">
      <c r="A39" s="142">
        <v>50410</v>
      </c>
      <c r="B39" s="142" t="s">
        <v>69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>
        <f t="shared" si="5"/>
        <v>0</v>
      </c>
      <c r="M39" s="215"/>
      <c r="N39" s="216">
        <v>342730</v>
      </c>
      <c r="O39" s="216"/>
      <c r="P39" s="217">
        <v>46500</v>
      </c>
      <c r="Q39" s="217"/>
      <c r="R39" s="216">
        <v>22398</v>
      </c>
      <c r="S39" s="216"/>
      <c r="T39" s="217">
        <v>9490</v>
      </c>
      <c r="U39" s="217"/>
      <c r="V39" s="217"/>
      <c r="W39" s="217"/>
      <c r="X39" s="216"/>
      <c r="Y39" s="216"/>
      <c r="Z39" s="217"/>
      <c r="AA39" s="218"/>
      <c r="AB39" s="219">
        <v>468666</v>
      </c>
      <c r="AC39" s="219"/>
      <c r="AD39" s="220">
        <v>31827</v>
      </c>
      <c r="AE39" s="220"/>
      <c r="AF39" s="219">
        <v>182630</v>
      </c>
      <c r="AG39" s="221"/>
      <c r="AH39" s="222"/>
      <c r="AI39" s="222"/>
      <c r="AJ39" s="223">
        <v>54379</v>
      </c>
      <c r="AK39" s="223"/>
      <c r="AL39" s="222">
        <v>7329</v>
      </c>
      <c r="AM39" s="222"/>
      <c r="AN39" s="223">
        <v>36946</v>
      </c>
      <c r="AO39" s="224"/>
      <c r="AP39" s="217">
        <v>43860</v>
      </c>
      <c r="AQ39" s="217"/>
      <c r="AR39" s="216"/>
      <c r="AS39" s="216"/>
      <c r="AT39" s="217">
        <v>21600</v>
      </c>
      <c r="AU39" s="217"/>
      <c r="AV39" s="216">
        <v>300</v>
      </c>
      <c r="AW39" s="216"/>
      <c r="AX39" s="225">
        <f t="shared" si="6"/>
        <v>1268655</v>
      </c>
      <c r="AY39" s="215"/>
      <c r="AZ39" s="217">
        <f>1111668-50000*2.75+832</f>
        <v>975000</v>
      </c>
      <c r="BA39" s="215"/>
      <c r="BB39" s="8">
        <f t="shared" si="7"/>
        <v>2243655</v>
      </c>
      <c r="BN39" s="215"/>
      <c r="BO39" s="13"/>
    </row>
    <row r="40" spans="1:67" x14ac:dyDescent="0.25">
      <c r="A40" s="142">
        <v>50415</v>
      </c>
      <c r="B40" s="142" t="s">
        <v>70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>
        <f t="shared" si="5"/>
        <v>0</v>
      </c>
      <c r="M40" s="215"/>
      <c r="N40" s="216"/>
      <c r="O40" s="216"/>
      <c r="P40" s="217"/>
      <c r="Q40" s="217"/>
      <c r="R40" s="216"/>
      <c r="S40" s="216"/>
      <c r="T40" s="217"/>
      <c r="U40" s="217"/>
      <c r="V40" s="217"/>
      <c r="W40" s="217"/>
      <c r="X40" s="216">
        <v>2700</v>
      </c>
      <c r="Y40" s="216"/>
      <c r="Z40" s="217"/>
      <c r="AA40" s="218"/>
      <c r="AB40" s="219"/>
      <c r="AC40" s="219"/>
      <c r="AD40" s="220"/>
      <c r="AE40" s="220"/>
      <c r="AF40" s="219"/>
      <c r="AG40" s="221"/>
      <c r="AH40" s="222"/>
      <c r="AI40" s="222"/>
      <c r="AJ40" s="223"/>
      <c r="AK40" s="223"/>
      <c r="AL40" s="222"/>
      <c r="AM40" s="222"/>
      <c r="AN40" s="223"/>
      <c r="AO40" s="224"/>
      <c r="AP40" s="217"/>
      <c r="AQ40" s="217"/>
      <c r="AR40" s="216"/>
      <c r="AS40" s="216"/>
      <c r="AT40" s="217"/>
      <c r="AU40" s="217"/>
      <c r="AV40" s="216">
        <v>36000</v>
      </c>
      <c r="AW40" s="216"/>
      <c r="AX40" s="225">
        <f t="shared" si="6"/>
        <v>38700</v>
      </c>
      <c r="AY40" s="215"/>
      <c r="AZ40" s="217">
        <v>500</v>
      </c>
      <c r="BA40" s="215"/>
      <c r="BB40" s="8">
        <f t="shared" si="7"/>
        <v>39200</v>
      </c>
      <c r="BM40" s="35"/>
      <c r="BN40" s="215"/>
    </row>
    <row r="41" spans="1:67" x14ac:dyDescent="0.25">
      <c r="A41" s="142">
        <v>50420</v>
      </c>
      <c r="B41" s="142" t="s">
        <v>71</v>
      </c>
      <c r="C41" s="217"/>
      <c r="D41" s="217"/>
      <c r="E41" s="217"/>
      <c r="F41" s="217"/>
      <c r="G41" s="217"/>
      <c r="H41" s="217">
        <v>34500</v>
      </c>
      <c r="I41" s="217"/>
      <c r="J41" s="217"/>
      <c r="K41" s="217"/>
      <c r="L41" s="217">
        <f t="shared" si="5"/>
        <v>34500</v>
      </c>
      <c r="M41" s="215"/>
      <c r="N41" s="216"/>
      <c r="O41" s="216"/>
      <c r="P41" s="217"/>
      <c r="Q41" s="217"/>
      <c r="R41" s="216"/>
      <c r="S41" s="216"/>
      <c r="T41" s="217"/>
      <c r="U41" s="217"/>
      <c r="V41" s="217"/>
      <c r="W41" s="217"/>
      <c r="X41" s="216"/>
      <c r="Y41" s="216"/>
      <c r="Z41" s="217"/>
      <c r="AA41" s="218"/>
      <c r="AB41" s="219"/>
      <c r="AC41" s="219"/>
      <c r="AD41" s="220"/>
      <c r="AE41" s="220"/>
      <c r="AF41" s="219"/>
      <c r="AG41" s="221"/>
      <c r="AH41" s="222"/>
      <c r="AI41" s="222"/>
      <c r="AJ41" s="223"/>
      <c r="AK41" s="223"/>
      <c r="AL41" s="222"/>
      <c r="AM41" s="222"/>
      <c r="AN41" s="223"/>
      <c r="AO41" s="224"/>
      <c r="AP41" s="217"/>
      <c r="AQ41" s="217"/>
      <c r="AR41" s="216"/>
      <c r="AS41" s="216"/>
      <c r="AT41" s="217"/>
      <c r="AU41" s="217"/>
      <c r="AV41" s="216"/>
      <c r="AW41" s="216"/>
      <c r="AX41" s="225">
        <f t="shared" si="6"/>
        <v>0</v>
      </c>
      <c r="AY41" s="215"/>
      <c r="AZ41" s="217"/>
      <c r="BA41" s="215"/>
      <c r="BB41" s="8">
        <f t="shared" si="7"/>
        <v>34500</v>
      </c>
      <c r="BM41" s="35"/>
      <c r="BN41" s="215"/>
    </row>
    <row r="42" spans="1:67" x14ac:dyDescent="0.25">
      <c r="A42" s="142">
        <v>50425</v>
      </c>
      <c r="B42" s="142" t="s">
        <v>72</v>
      </c>
      <c r="C42" s="217"/>
      <c r="D42" s="217">
        <v>16200</v>
      </c>
      <c r="E42" s="217">
        <v>500</v>
      </c>
      <c r="F42" s="217"/>
      <c r="G42" s="217"/>
      <c r="H42" s="217"/>
      <c r="I42" s="217"/>
      <c r="J42" s="217"/>
      <c r="K42" s="217"/>
      <c r="L42" s="217">
        <f t="shared" si="5"/>
        <v>16700</v>
      </c>
      <c r="M42" s="215"/>
      <c r="N42" s="216"/>
      <c r="O42" s="216"/>
      <c r="P42" s="217"/>
      <c r="Q42" s="217"/>
      <c r="R42" s="216"/>
      <c r="S42" s="216"/>
      <c r="T42" s="217"/>
      <c r="U42" s="217"/>
      <c r="V42" s="217"/>
      <c r="W42" s="217"/>
      <c r="X42" s="216">
        <v>19404</v>
      </c>
      <c r="Y42" s="216"/>
      <c r="Z42" s="217"/>
      <c r="AA42" s="218"/>
      <c r="AB42" s="219"/>
      <c r="AC42" s="219"/>
      <c r="AD42" s="220"/>
      <c r="AE42" s="220"/>
      <c r="AF42" s="219"/>
      <c r="AG42" s="221"/>
      <c r="AH42" s="222"/>
      <c r="AI42" s="222"/>
      <c r="AJ42" s="223"/>
      <c r="AK42" s="223"/>
      <c r="AL42" s="222"/>
      <c r="AM42" s="222"/>
      <c r="AN42" s="223"/>
      <c r="AO42" s="224"/>
      <c r="AP42" s="217"/>
      <c r="AQ42" s="217"/>
      <c r="AR42" s="216">
        <v>8400</v>
      </c>
      <c r="AS42" s="216"/>
      <c r="AT42" s="217"/>
      <c r="AU42" s="217"/>
      <c r="AV42" s="216"/>
      <c r="AW42" s="216"/>
      <c r="AX42" s="225">
        <f t="shared" si="6"/>
        <v>27804</v>
      </c>
      <c r="AY42" s="215"/>
      <c r="AZ42" s="217"/>
      <c r="BA42" s="215"/>
      <c r="BB42" s="8">
        <f t="shared" si="7"/>
        <v>44504</v>
      </c>
      <c r="BM42" s="271"/>
      <c r="BN42" s="259"/>
    </row>
    <row r="43" spans="1:67" x14ac:dyDescent="0.25">
      <c r="A43" s="142">
        <v>50435</v>
      </c>
      <c r="B43" s="142" t="s">
        <v>73</v>
      </c>
      <c r="C43" s="217"/>
      <c r="D43" s="217">
        <v>5000</v>
      </c>
      <c r="E43" s="217"/>
      <c r="F43" s="217">
        <v>2000</v>
      </c>
      <c r="G43" s="217"/>
      <c r="H43" s="217"/>
      <c r="I43" s="217"/>
      <c r="J43" s="217"/>
      <c r="K43" s="217"/>
      <c r="L43" s="217">
        <f t="shared" si="5"/>
        <v>7000</v>
      </c>
      <c r="M43" s="215"/>
      <c r="N43" s="216"/>
      <c r="O43" s="216"/>
      <c r="P43" s="217"/>
      <c r="Q43" s="217"/>
      <c r="R43" s="216"/>
      <c r="S43" s="216"/>
      <c r="T43" s="217"/>
      <c r="U43" s="217"/>
      <c r="V43" s="217"/>
      <c r="W43" s="217"/>
      <c r="X43" s="216">
        <v>2000</v>
      </c>
      <c r="Y43" s="216"/>
      <c r="Z43" s="217"/>
      <c r="AA43" s="218"/>
      <c r="AB43" s="219"/>
      <c r="AC43" s="219"/>
      <c r="AD43" s="220"/>
      <c r="AE43" s="220"/>
      <c r="AF43" s="219"/>
      <c r="AG43" s="221"/>
      <c r="AH43" s="222"/>
      <c r="AI43" s="222"/>
      <c r="AJ43" s="223"/>
      <c r="AK43" s="223"/>
      <c r="AL43" s="222"/>
      <c r="AM43" s="222"/>
      <c r="AN43" s="223"/>
      <c r="AO43" s="224"/>
      <c r="AP43" s="217"/>
      <c r="AQ43" s="217"/>
      <c r="AR43" s="216"/>
      <c r="AS43" s="216"/>
      <c r="AT43" s="217"/>
      <c r="AU43" s="217"/>
      <c r="AV43" s="216"/>
      <c r="AW43" s="216"/>
      <c r="AX43" s="225">
        <f t="shared" si="6"/>
        <v>2000</v>
      </c>
      <c r="AY43" s="215"/>
      <c r="AZ43" s="217"/>
      <c r="BA43" s="215"/>
      <c r="BB43" s="8">
        <f t="shared" si="7"/>
        <v>9000</v>
      </c>
      <c r="BN43" s="272"/>
    </row>
    <row r="44" spans="1:67" x14ac:dyDescent="0.25">
      <c r="A44" s="142">
        <v>50440</v>
      </c>
      <c r="B44" s="142" t="s">
        <v>74</v>
      </c>
      <c r="E44" s="217"/>
      <c r="F44" s="217"/>
      <c r="G44" s="217"/>
      <c r="I44" s="217"/>
      <c r="J44" s="217"/>
      <c r="K44" s="217">
        <f>44700+BG24</f>
        <v>47200</v>
      </c>
      <c r="L44" s="217">
        <f t="shared" si="5"/>
        <v>47200</v>
      </c>
      <c r="M44" s="215"/>
      <c r="N44" s="216"/>
      <c r="O44" s="216"/>
      <c r="P44" s="217"/>
      <c r="Q44" s="217"/>
      <c r="R44" s="216"/>
      <c r="S44" s="216"/>
      <c r="T44" s="217"/>
      <c r="U44" s="217"/>
      <c r="V44" s="217"/>
      <c r="W44" s="217"/>
      <c r="X44" s="216">
        <v>12000</v>
      </c>
      <c r="Y44" s="216"/>
      <c r="Z44" s="217"/>
      <c r="AA44" s="218"/>
      <c r="AB44" s="219"/>
      <c r="AC44" s="219"/>
      <c r="AD44" s="220"/>
      <c r="AE44" s="220"/>
      <c r="AF44" s="219"/>
      <c r="AG44" s="221"/>
      <c r="AH44" s="222">
        <v>6000</v>
      </c>
      <c r="AI44" s="222"/>
      <c r="AJ44" s="223"/>
      <c r="AK44" s="223"/>
      <c r="AL44" s="222"/>
      <c r="AM44" s="222"/>
      <c r="AN44" s="223"/>
      <c r="AO44" s="224"/>
      <c r="AP44" s="217"/>
      <c r="AQ44" s="217"/>
      <c r="AR44" s="216">
        <v>1000</v>
      </c>
      <c r="AS44" s="216"/>
      <c r="AT44" s="217"/>
      <c r="AU44" s="217"/>
      <c r="AV44" s="216"/>
      <c r="AW44" s="216"/>
      <c r="AX44" s="225">
        <f t="shared" si="6"/>
        <v>19000</v>
      </c>
      <c r="AY44" s="215"/>
      <c r="AZ44" s="217"/>
      <c r="BA44" s="215"/>
      <c r="BB44" s="8">
        <f t="shared" si="7"/>
        <v>66200</v>
      </c>
      <c r="BE44" s="13"/>
      <c r="BN44" s="273"/>
    </row>
    <row r="45" spans="1:67" x14ac:dyDescent="0.25">
      <c r="A45" s="142">
        <v>50445</v>
      </c>
      <c r="B45" s="142" t="s">
        <v>75</v>
      </c>
      <c r="C45" s="217"/>
      <c r="D45" s="217">
        <v>3500</v>
      </c>
      <c r="E45" s="217"/>
      <c r="F45" s="217"/>
      <c r="G45" s="217"/>
      <c r="H45" s="217">
        <v>4700</v>
      </c>
      <c r="I45" s="217"/>
      <c r="J45" s="217"/>
      <c r="K45" s="217"/>
      <c r="L45" s="217">
        <f t="shared" si="5"/>
        <v>8200</v>
      </c>
      <c r="M45" s="215"/>
      <c r="N45" s="216"/>
      <c r="O45" s="216"/>
      <c r="P45" s="217"/>
      <c r="Q45" s="217"/>
      <c r="R45" s="216"/>
      <c r="S45" s="216"/>
      <c r="T45" s="217"/>
      <c r="U45" s="217"/>
      <c r="V45" s="217"/>
      <c r="W45" s="217"/>
      <c r="X45" s="216">
        <v>600</v>
      </c>
      <c r="Y45" s="216"/>
      <c r="Z45" s="217"/>
      <c r="AA45" s="218"/>
      <c r="AB45" s="219"/>
      <c r="AC45" s="219"/>
      <c r="AD45" s="220"/>
      <c r="AE45" s="220"/>
      <c r="AF45" s="219"/>
      <c r="AG45" s="221"/>
      <c r="AH45" s="222"/>
      <c r="AI45" s="222"/>
      <c r="AJ45" s="223"/>
      <c r="AK45" s="223"/>
      <c r="AL45" s="222"/>
      <c r="AM45" s="222"/>
      <c r="AN45" s="223"/>
      <c r="AO45" s="224"/>
      <c r="AP45" s="217"/>
      <c r="AQ45" s="217"/>
      <c r="AR45" s="216">
        <v>3000</v>
      </c>
      <c r="AS45" s="216"/>
      <c r="AT45" s="217"/>
      <c r="AU45" s="217"/>
      <c r="AV45" s="216">
        <v>1200</v>
      </c>
      <c r="AW45" s="216"/>
      <c r="AX45" s="225">
        <f t="shared" si="6"/>
        <v>4800</v>
      </c>
      <c r="AY45" s="215"/>
      <c r="AZ45" s="217"/>
      <c r="BA45" s="215"/>
      <c r="BB45" s="8">
        <f t="shared" si="7"/>
        <v>13000</v>
      </c>
      <c r="BE45" s="13"/>
      <c r="BN45" s="274"/>
      <c r="BO45" s="13"/>
    </row>
    <row r="46" spans="1:67" x14ac:dyDescent="0.25">
      <c r="A46" s="142">
        <v>50450</v>
      </c>
      <c r="B46" s="142" t="s">
        <v>76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>
        <f t="shared" si="5"/>
        <v>0</v>
      </c>
      <c r="M46" s="215"/>
      <c r="N46" s="216"/>
      <c r="O46" s="216"/>
      <c r="P46" s="217"/>
      <c r="Q46" s="217"/>
      <c r="R46" s="216"/>
      <c r="S46" s="216"/>
      <c r="T46" s="217"/>
      <c r="U46" s="217"/>
      <c r="V46" s="217"/>
      <c r="W46" s="217"/>
      <c r="X46" s="216"/>
      <c r="Y46" s="216"/>
      <c r="Z46" s="217"/>
      <c r="AA46" s="218"/>
      <c r="AB46" s="219"/>
      <c r="AC46" s="219"/>
      <c r="AD46" s="220"/>
      <c r="AE46" s="220"/>
      <c r="AF46" s="219"/>
      <c r="AG46" s="221"/>
      <c r="AH46" s="222"/>
      <c r="AI46" s="222"/>
      <c r="AJ46" s="223"/>
      <c r="AK46" s="223"/>
      <c r="AL46" s="222"/>
      <c r="AM46" s="222"/>
      <c r="AN46" s="223"/>
      <c r="AO46" s="224"/>
      <c r="AP46" s="217"/>
      <c r="AQ46" s="217"/>
      <c r="AR46" s="216"/>
      <c r="AS46" s="216"/>
      <c r="AT46" s="217"/>
      <c r="AU46" s="217"/>
      <c r="AV46" s="216">
        <v>130000</v>
      </c>
      <c r="AW46" s="216"/>
      <c r="AX46" s="225">
        <f t="shared" si="6"/>
        <v>130000</v>
      </c>
      <c r="AY46" s="215"/>
      <c r="AZ46" s="217"/>
      <c r="BA46" s="215"/>
      <c r="BB46" s="8">
        <f t="shared" si="7"/>
        <v>130000</v>
      </c>
      <c r="BE46" s="13"/>
      <c r="BM46" s="35"/>
      <c r="BN46" s="274"/>
    </row>
    <row r="47" spans="1:67" x14ac:dyDescent="0.25">
      <c r="A47" s="142">
        <v>50455</v>
      </c>
      <c r="B47" s="142" t="s">
        <v>77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>
        <f t="shared" si="5"/>
        <v>0</v>
      </c>
      <c r="M47" s="215"/>
      <c r="N47" s="216"/>
      <c r="O47" s="216"/>
      <c r="P47" s="217"/>
      <c r="Q47" s="217"/>
      <c r="R47" s="216"/>
      <c r="S47" s="216"/>
      <c r="T47" s="217"/>
      <c r="U47" s="217"/>
      <c r="V47" s="217"/>
      <c r="W47" s="217"/>
      <c r="X47" s="216"/>
      <c r="Y47" s="216"/>
      <c r="Z47" s="217"/>
      <c r="AA47" s="218"/>
      <c r="AB47" s="219"/>
      <c r="AC47" s="219"/>
      <c r="AD47" s="220"/>
      <c r="AE47" s="220"/>
      <c r="AF47" s="219"/>
      <c r="AG47" s="221"/>
      <c r="AH47" s="222"/>
      <c r="AI47" s="222"/>
      <c r="AJ47" s="223"/>
      <c r="AK47" s="223"/>
      <c r="AL47" s="222"/>
      <c r="AM47" s="222"/>
      <c r="AN47" s="223"/>
      <c r="AO47" s="224"/>
      <c r="AP47" s="217"/>
      <c r="AQ47" s="217"/>
      <c r="AR47" s="216"/>
      <c r="AS47" s="216"/>
      <c r="AT47" s="217"/>
      <c r="AU47" s="217"/>
      <c r="AV47" s="216">
        <v>685600</v>
      </c>
      <c r="AW47" s="216"/>
      <c r="AX47" s="225">
        <f t="shared" si="6"/>
        <v>685600</v>
      </c>
      <c r="AY47" s="215"/>
      <c r="AZ47" s="217">
        <v>1000</v>
      </c>
      <c r="BA47" s="215"/>
      <c r="BB47" s="8">
        <f t="shared" si="7"/>
        <v>686600</v>
      </c>
      <c r="BE47" s="13"/>
      <c r="BM47" s="35"/>
      <c r="BN47" s="274"/>
    </row>
    <row r="48" spans="1:67" x14ac:dyDescent="0.25">
      <c r="A48" s="142">
        <v>50456</v>
      </c>
      <c r="B48" s="142" t="s">
        <v>78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>
        <f t="shared" si="5"/>
        <v>0</v>
      </c>
      <c r="M48" s="215"/>
      <c r="N48" s="216"/>
      <c r="O48" s="216"/>
      <c r="P48" s="217"/>
      <c r="Q48" s="217"/>
      <c r="R48" s="216"/>
      <c r="S48" s="216"/>
      <c r="T48" s="217"/>
      <c r="U48" s="217"/>
      <c r="V48" s="217"/>
      <c r="W48" s="217"/>
      <c r="X48" s="216"/>
      <c r="Y48" s="216"/>
      <c r="Z48" s="217"/>
      <c r="AA48" s="218"/>
      <c r="AB48" s="219"/>
      <c r="AC48" s="219"/>
      <c r="AD48" s="220"/>
      <c r="AE48" s="220"/>
      <c r="AF48" s="219"/>
      <c r="AG48" s="221"/>
      <c r="AH48" s="222"/>
      <c r="AI48" s="222"/>
      <c r="AJ48" s="223"/>
      <c r="AK48" s="223"/>
      <c r="AL48" s="222"/>
      <c r="AM48" s="222"/>
      <c r="AN48" s="223"/>
      <c r="AO48" s="224"/>
      <c r="AP48" s="217"/>
      <c r="AQ48" s="217"/>
      <c r="AR48" s="216"/>
      <c r="AS48" s="216"/>
      <c r="AT48" s="217"/>
      <c r="AU48" s="217"/>
      <c r="AV48" s="216">
        <v>41000</v>
      </c>
      <c r="AW48" s="216"/>
      <c r="AX48" s="225">
        <f t="shared" si="6"/>
        <v>41000</v>
      </c>
      <c r="AY48" s="215"/>
      <c r="AZ48" s="217"/>
      <c r="BA48" s="215"/>
      <c r="BB48" s="8">
        <f t="shared" si="7"/>
        <v>41000</v>
      </c>
      <c r="BM48" s="271"/>
      <c r="BN48" s="273"/>
    </row>
    <row r="49" spans="1:68" x14ac:dyDescent="0.25">
      <c r="A49" s="142">
        <v>50515</v>
      </c>
      <c r="B49" s="142" t="s">
        <v>341</v>
      </c>
      <c r="C49" s="217"/>
      <c r="D49" s="217">
        <v>13200</v>
      </c>
      <c r="E49" s="217"/>
      <c r="F49" s="217"/>
      <c r="G49" s="217"/>
      <c r="H49" s="217"/>
      <c r="I49" s="217">
        <v>12000</v>
      </c>
      <c r="J49" s="217"/>
      <c r="K49" s="217"/>
      <c r="L49" s="217">
        <f t="shared" si="5"/>
        <v>25200</v>
      </c>
      <c r="M49" s="215"/>
      <c r="N49" s="216"/>
      <c r="O49" s="216"/>
      <c r="P49" s="217"/>
      <c r="Q49" s="217"/>
      <c r="R49" s="216"/>
      <c r="S49" s="216"/>
      <c r="T49" s="217"/>
      <c r="U49" s="217"/>
      <c r="V49" s="217"/>
      <c r="W49" s="217"/>
      <c r="X49" s="216">
        <v>32700</v>
      </c>
      <c r="Y49" s="216"/>
      <c r="Z49" s="217"/>
      <c r="AA49" s="218"/>
      <c r="AB49" s="219"/>
      <c r="AC49" s="219"/>
      <c r="AD49" s="220"/>
      <c r="AE49" s="220"/>
      <c r="AF49" s="219"/>
      <c r="AG49" s="221"/>
      <c r="AH49" s="222">
        <v>42000</v>
      </c>
      <c r="AI49" s="222"/>
      <c r="AJ49" s="223"/>
      <c r="AK49" s="223"/>
      <c r="AL49" s="222"/>
      <c r="AM49" s="222"/>
      <c r="AN49" s="223"/>
      <c r="AO49" s="224"/>
      <c r="AP49" s="217"/>
      <c r="AQ49" s="217"/>
      <c r="AR49" s="216">
        <v>25320</v>
      </c>
      <c r="AS49" s="216"/>
      <c r="AT49" s="217"/>
      <c r="AU49" s="217"/>
      <c r="AV49" s="216"/>
      <c r="AW49" s="216"/>
      <c r="AX49" s="225">
        <f t="shared" si="6"/>
        <v>100020</v>
      </c>
      <c r="AY49" s="215"/>
      <c r="AZ49" s="217">
        <v>10000</v>
      </c>
      <c r="BA49" s="215"/>
      <c r="BB49" s="8">
        <f t="shared" si="7"/>
        <v>135220</v>
      </c>
      <c r="BN49" s="272"/>
    </row>
    <row r="50" spans="1:68" x14ac:dyDescent="0.25">
      <c r="A50" s="142">
        <v>50520</v>
      </c>
      <c r="B50" s="142" t="s">
        <v>79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>
        <f t="shared" si="5"/>
        <v>0</v>
      </c>
      <c r="M50" s="215"/>
      <c r="N50" s="216"/>
      <c r="O50" s="216"/>
      <c r="P50" s="217"/>
      <c r="Q50" s="217"/>
      <c r="R50" s="216"/>
      <c r="S50" s="216"/>
      <c r="T50" s="217"/>
      <c r="U50" s="217"/>
      <c r="V50" s="217"/>
      <c r="W50" s="217"/>
      <c r="X50" s="216">
        <v>24000</v>
      </c>
      <c r="Y50" s="216"/>
      <c r="Z50" s="217"/>
      <c r="AA50" s="218"/>
      <c r="AB50" s="219"/>
      <c r="AC50" s="219"/>
      <c r="AD50" s="220"/>
      <c r="AE50" s="220"/>
      <c r="AF50" s="219"/>
      <c r="AG50" s="221"/>
      <c r="AH50" s="222"/>
      <c r="AI50" s="222"/>
      <c r="AJ50" s="223"/>
      <c r="AK50" s="223"/>
      <c r="AL50" s="222"/>
      <c r="AM50" s="222"/>
      <c r="AN50" s="223"/>
      <c r="AO50" s="224"/>
      <c r="AP50" s="217"/>
      <c r="AQ50" s="217"/>
      <c r="AR50" s="216"/>
      <c r="AS50" s="216"/>
      <c r="AT50" s="217"/>
      <c r="AU50" s="217"/>
      <c r="AV50" s="216"/>
      <c r="AW50" s="216"/>
      <c r="AX50" s="225">
        <f t="shared" si="6"/>
        <v>24000</v>
      </c>
      <c r="AY50" s="215"/>
      <c r="AZ50" s="217">
        <v>84768</v>
      </c>
      <c r="BA50" s="215"/>
      <c r="BB50" s="8">
        <f t="shared" si="7"/>
        <v>108768</v>
      </c>
      <c r="BE50" s="13"/>
      <c r="BL50" s="35"/>
      <c r="BM50" s="35"/>
      <c r="BN50" s="272"/>
    </row>
    <row r="51" spans="1:68" x14ac:dyDescent="0.25">
      <c r="A51" s="142">
        <v>50525</v>
      </c>
      <c r="B51" s="142" t="s">
        <v>80</v>
      </c>
      <c r="C51" s="217"/>
      <c r="D51" s="217">
        <v>11600</v>
      </c>
      <c r="E51" s="217"/>
      <c r="F51" s="217"/>
      <c r="G51" s="217"/>
      <c r="H51" s="217"/>
      <c r="I51" s="217"/>
      <c r="J51" s="217"/>
      <c r="K51" s="217"/>
      <c r="L51" s="217">
        <f t="shared" si="5"/>
        <v>11600</v>
      </c>
      <c r="M51" s="215"/>
      <c r="N51" s="216"/>
      <c r="O51" s="216"/>
      <c r="P51" s="217"/>
      <c r="Q51" s="217"/>
      <c r="R51" s="216"/>
      <c r="S51" s="216"/>
      <c r="T51" s="217"/>
      <c r="U51" s="217"/>
      <c r="V51" s="217"/>
      <c r="W51" s="217"/>
      <c r="X51" s="216">
        <v>45600</v>
      </c>
      <c r="Y51" s="216"/>
      <c r="Z51" s="217"/>
      <c r="AA51" s="218"/>
      <c r="AB51" s="219"/>
      <c r="AC51" s="219"/>
      <c r="AD51" s="220"/>
      <c r="AE51" s="220"/>
      <c r="AF51" s="219"/>
      <c r="AG51" s="221"/>
      <c r="AH51" s="222"/>
      <c r="AI51" s="222"/>
      <c r="AJ51" s="223"/>
      <c r="AK51" s="223"/>
      <c r="AL51" s="222"/>
      <c r="AM51" s="222"/>
      <c r="AN51" s="223"/>
      <c r="AO51" s="224"/>
      <c r="AP51" s="217"/>
      <c r="AQ51" s="217"/>
      <c r="AR51" s="216"/>
      <c r="AS51" s="216"/>
      <c r="AT51" s="217"/>
      <c r="AU51" s="217"/>
      <c r="AV51" s="216"/>
      <c r="AW51" s="216"/>
      <c r="AX51" s="225">
        <f t="shared" si="6"/>
        <v>45600</v>
      </c>
      <c r="AY51" s="215"/>
      <c r="AZ51" s="217">
        <v>206000</v>
      </c>
      <c r="BA51" s="215"/>
      <c r="BB51" s="8">
        <f t="shared" si="7"/>
        <v>263200</v>
      </c>
      <c r="BE51" s="13"/>
      <c r="BL51" s="35"/>
      <c r="BM51" s="35"/>
      <c r="BN51" s="272"/>
    </row>
    <row r="52" spans="1:68" x14ac:dyDescent="0.25">
      <c r="A52" s="142">
        <v>50530</v>
      </c>
      <c r="B52" s="142" t="s">
        <v>81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>
        <f t="shared" si="5"/>
        <v>0</v>
      </c>
      <c r="M52" s="215"/>
      <c r="N52" s="216"/>
      <c r="O52" s="216"/>
      <c r="P52" s="217"/>
      <c r="Q52" s="217"/>
      <c r="R52" s="216"/>
      <c r="S52" s="216"/>
      <c r="T52" s="217"/>
      <c r="U52" s="217"/>
      <c r="V52" s="217"/>
      <c r="W52" s="217"/>
      <c r="X52" s="216">
        <v>6000</v>
      </c>
      <c r="Y52" s="216"/>
      <c r="Z52" s="217"/>
      <c r="AA52" s="218"/>
      <c r="AB52" s="219"/>
      <c r="AC52" s="219"/>
      <c r="AD52" s="220"/>
      <c r="AE52" s="220"/>
      <c r="AF52" s="219"/>
      <c r="AG52" s="221"/>
      <c r="AH52" s="222"/>
      <c r="AI52" s="222"/>
      <c r="AJ52" s="223"/>
      <c r="AK52" s="223"/>
      <c r="AL52" s="222"/>
      <c r="AM52" s="222"/>
      <c r="AN52" s="223"/>
      <c r="AO52" s="224"/>
      <c r="AP52" s="217"/>
      <c r="AQ52" s="217"/>
      <c r="AR52" s="216"/>
      <c r="AS52" s="216"/>
      <c r="AT52" s="217"/>
      <c r="AU52" s="217"/>
      <c r="AV52" s="216"/>
      <c r="AW52" s="216"/>
      <c r="AX52" s="225">
        <f t="shared" si="6"/>
        <v>6000</v>
      </c>
      <c r="AY52" s="215"/>
      <c r="AZ52" s="217">
        <v>14800</v>
      </c>
      <c r="BA52" s="215"/>
      <c r="BB52" s="8">
        <f t="shared" si="7"/>
        <v>20800</v>
      </c>
    </row>
    <row r="53" spans="1:68" x14ac:dyDescent="0.25">
      <c r="A53" s="142">
        <v>50605</v>
      </c>
      <c r="B53" s="142" t="s">
        <v>82</v>
      </c>
      <c r="C53" s="217"/>
      <c r="D53" s="217"/>
      <c r="E53" s="217"/>
      <c r="F53" s="217">
        <v>960</v>
      </c>
      <c r="G53" s="217"/>
      <c r="H53" s="217"/>
      <c r="I53" s="217"/>
      <c r="J53" s="217"/>
      <c r="K53" s="217"/>
      <c r="L53" s="217">
        <f t="shared" si="5"/>
        <v>960</v>
      </c>
      <c r="M53" s="215"/>
      <c r="N53" s="216"/>
      <c r="O53" s="216"/>
      <c r="P53" s="217"/>
      <c r="Q53" s="217"/>
      <c r="R53" s="216"/>
      <c r="S53" s="216"/>
      <c r="T53" s="217"/>
      <c r="U53" s="217"/>
      <c r="V53" s="217"/>
      <c r="W53" s="217"/>
      <c r="X53" s="216"/>
      <c r="Y53" s="216"/>
      <c r="Z53" s="217"/>
      <c r="AA53" s="218"/>
      <c r="AB53" s="219"/>
      <c r="AC53" s="219"/>
      <c r="AD53" s="220"/>
      <c r="AE53" s="220"/>
      <c r="AF53" s="219"/>
      <c r="AG53" s="221"/>
      <c r="AH53" s="222"/>
      <c r="AI53" s="222"/>
      <c r="AJ53" s="223"/>
      <c r="AK53" s="223"/>
      <c r="AL53" s="222"/>
      <c r="AM53" s="222"/>
      <c r="AN53" s="223"/>
      <c r="AO53" s="224"/>
      <c r="AP53" s="217"/>
      <c r="AQ53" s="217"/>
      <c r="AR53" s="216"/>
      <c r="AS53" s="216"/>
      <c r="AT53" s="217"/>
      <c r="AU53" s="217"/>
      <c r="AV53" s="216"/>
      <c r="AW53" s="216"/>
      <c r="AX53" s="225">
        <f t="shared" si="6"/>
        <v>0</v>
      </c>
      <c r="AY53" s="215"/>
      <c r="AZ53" s="217">
        <f>ROUND(756300*1.05,0)</f>
        <v>794115</v>
      </c>
      <c r="BA53" s="215"/>
      <c r="BB53" s="8">
        <f t="shared" si="7"/>
        <v>795075</v>
      </c>
      <c r="BL53" s="24"/>
      <c r="BM53" s="24"/>
      <c r="BN53" s="24"/>
    </row>
    <row r="54" spans="1:68" x14ac:dyDescent="0.25">
      <c r="A54" s="142">
        <v>50610</v>
      </c>
      <c r="B54" s="142" t="s">
        <v>83</v>
      </c>
      <c r="C54" s="217"/>
      <c r="D54" s="217"/>
      <c r="E54" s="217"/>
      <c r="F54" s="217">
        <v>720</v>
      </c>
      <c r="G54" s="217"/>
      <c r="H54" s="217"/>
      <c r="I54" s="217"/>
      <c r="J54" s="217"/>
      <c r="K54" s="217"/>
      <c r="L54" s="217">
        <f t="shared" si="5"/>
        <v>720</v>
      </c>
      <c r="M54" s="215"/>
      <c r="N54" s="216"/>
      <c r="O54" s="216"/>
      <c r="P54" s="217"/>
      <c r="Q54" s="217"/>
      <c r="R54" s="216"/>
      <c r="S54" s="216"/>
      <c r="T54" s="217"/>
      <c r="U54" s="217"/>
      <c r="V54" s="217"/>
      <c r="W54" s="217"/>
      <c r="X54" s="216"/>
      <c r="Y54" s="216"/>
      <c r="Z54" s="217"/>
      <c r="AA54" s="218"/>
      <c r="AB54" s="219"/>
      <c r="AC54" s="219"/>
      <c r="AD54" s="220"/>
      <c r="AE54" s="220"/>
      <c r="AF54" s="219"/>
      <c r="AG54" s="221"/>
      <c r="AH54" s="222"/>
      <c r="AI54" s="222"/>
      <c r="AJ54" s="223"/>
      <c r="AK54" s="223"/>
      <c r="AL54" s="222"/>
      <c r="AM54" s="222"/>
      <c r="AN54" s="223"/>
      <c r="AO54" s="224"/>
      <c r="AP54" s="217"/>
      <c r="AQ54" s="217"/>
      <c r="AR54" s="216"/>
      <c r="AS54" s="216"/>
      <c r="AT54" s="217"/>
      <c r="AU54" s="217"/>
      <c r="AV54" s="216">
        <v>15360</v>
      </c>
      <c r="AW54" s="216"/>
      <c r="AX54" s="225">
        <f t="shared" si="6"/>
        <v>15360</v>
      </c>
      <c r="AY54" s="215"/>
      <c r="AZ54" s="217">
        <f>ROUND(104886*1.05,0)</f>
        <v>110130</v>
      </c>
      <c r="BA54" s="215"/>
      <c r="BB54" s="8">
        <f t="shared" si="7"/>
        <v>126210</v>
      </c>
      <c r="BN54" s="215"/>
      <c r="BO54" s="13"/>
    </row>
    <row r="55" spans="1:68" x14ac:dyDescent="0.25">
      <c r="A55" s="142">
        <v>50615</v>
      </c>
      <c r="B55" s="142" t="s">
        <v>84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>
        <f t="shared" si="5"/>
        <v>0</v>
      </c>
      <c r="M55" s="215"/>
      <c r="N55" s="216"/>
      <c r="O55" s="216"/>
      <c r="P55" s="217"/>
      <c r="Q55" s="217"/>
      <c r="R55" s="216"/>
      <c r="S55" s="216"/>
      <c r="T55" s="217"/>
      <c r="U55" s="217"/>
      <c r="V55" s="217"/>
      <c r="W55" s="217"/>
      <c r="X55" s="216"/>
      <c r="Y55" s="216"/>
      <c r="Z55" s="217"/>
      <c r="AA55" s="218"/>
      <c r="AB55" s="219"/>
      <c r="AC55" s="219"/>
      <c r="AD55" s="220"/>
      <c r="AE55" s="220"/>
      <c r="AF55" s="219"/>
      <c r="AG55" s="221"/>
      <c r="AH55" s="222"/>
      <c r="AI55" s="222"/>
      <c r="AJ55" s="223"/>
      <c r="AK55" s="223"/>
      <c r="AL55" s="222"/>
      <c r="AM55" s="222"/>
      <c r="AN55" s="223"/>
      <c r="AO55" s="224"/>
      <c r="AP55" s="217"/>
      <c r="AQ55" s="217"/>
      <c r="AR55" s="216"/>
      <c r="AS55" s="216"/>
      <c r="AT55" s="217"/>
      <c r="AU55" s="217"/>
      <c r="AV55" s="216"/>
      <c r="AW55" s="216"/>
      <c r="AX55" s="225">
        <f t="shared" si="6"/>
        <v>0</v>
      </c>
      <c r="AY55" s="215"/>
      <c r="AZ55" s="217">
        <f>ROUND(471151*1.05,0)</f>
        <v>494709</v>
      </c>
      <c r="BA55" s="215"/>
      <c r="BB55" s="8">
        <f t="shared" si="7"/>
        <v>494709</v>
      </c>
      <c r="BM55" s="35"/>
      <c r="BN55" s="215"/>
    </row>
    <row r="56" spans="1:68" x14ac:dyDescent="0.25">
      <c r="A56" s="142">
        <v>50620</v>
      </c>
      <c r="B56" s="142" t="s">
        <v>85</v>
      </c>
      <c r="C56" s="217"/>
      <c r="D56" s="217"/>
      <c r="E56" s="217"/>
      <c r="F56" s="217">
        <v>4200</v>
      </c>
      <c r="G56" s="217"/>
      <c r="H56" s="217"/>
      <c r="I56" s="217"/>
      <c r="J56" s="217"/>
      <c r="K56" s="217"/>
      <c r="L56" s="217">
        <f t="shared" si="5"/>
        <v>4200</v>
      </c>
      <c r="M56" s="215"/>
      <c r="N56" s="216"/>
      <c r="O56" s="216"/>
      <c r="P56" s="217"/>
      <c r="Q56" s="217"/>
      <c r="R56" s="216"/>
      <c r="S56" s="216"/>
      <c r="T56" s="217"/>
      <c r="U56" s="217"/>
      <c r="V56" s="217"/>
      <c r="W56" s="217"/>
      <c r="X56" s="216"/>
      <c r="Y56" s="216"/>
      <c r="Z56" s="217"/>
      <c r="AA56" s="218"/>
      <c r="AB56" s="219"/>
      <c r="AC56" s="219"/>
      <c r="AD56" s="220"/>
      <c r="AE56" s="220"/>
      <c r="AF56" s="219"/>
      <c r="AG56" s="221"/>
      <c r="AH56" s="222"/>
      <c r="AI56" s="222"/>
      <c r="AJ56" s="223"/>
      <c r="AK56" s="223"/>
      <c r="AL56" s="222"/>
      <c r="AM56" s="222"/>
      <c r="AN56" s="223"/>
      <c r="AO56" s="224"/>
      <c r="AP56" s="217"/>
      <c r="AQ56" s="217"/>
      <c r="AR56" s="216"/>
      <c r="AS56" s="216"/>
      <c r="AT56" s="217"/>
      <c r="AU56" s="217"/>
      <c r="AV56" s="216"/>
      <c r="AW56" s="216"/>
      <c r="AX56" s="225">
        <f t="shared" ref="AX56:AX78" si="8">SUM(N56:AW56)</f>
        <v>0</v>
      </c>
      <c r="AY56" s="215"/>
      <c r="AZ56" s="217"/>
      <c r="BA56" s="215"/>
      <c r="BB56" s="8">
        <f t="shared" si="7"/>
        <v>4200</v>
      </c>
      <c r="BN56" s="259"/>
    </row>
    <row r="57" spans="1:68" x14ac:dyDescent="0.25">
      <c r="A57" s="142">
        <v>50625</v>
      </c>
      <c r="B57" s="142" t="s">
        <v>86</v>
      </c>
      <c r="C57" s="217"/>
      <c r="D57" s="217"/>
      <c r="E57" s="217"/>
      <c r="F57" s="217">
        <v>5160</v>
      </c>
      <c r="G57" s="217"/>
      <c r="H57" s="217"/>
      <c r="I57" s="217"/>
      <c r="J57" s="217"/>
      <c r="K57" s="217"/>
      <c r="L57" s="217">
        <f t="shared" si="5"/>
        <v>5160</v>
      </c>
      <c r="M57" s="215"/>
      <c r="N57" s="216"/>
      <c r="O57" s="216"/>
      <c r="P57" s="217"/>
      <c r="Q57" s="217"/>
      <c r="R57" s="216"/>
      <c r="S57" s="216"/>
      <c r="T57" s="217"/>
      <c r="U57" s="217"/>
      <c r="V57" s="217"/>
      <c r="W57" s="217"/>
      <c r="X57" s="216"/>
      <c r="Y57" s="216"/>
      <c r="Z57" s="217"/>
      <c r="AA57" s="218"/>
      <c r="AB57" s="219"/>
      <c r="AC57" s="219"/>
      <c r="AD57" s="220"/>
      <c r="AE57" s="220"/>
      <c r="AF57" s="219"/>
      <c r="AG57" s="221"/>
      <c r="AH57" s="222"/>
      <c r="AI57" s="222"/>
      <c r="AJ57" s="223"/>
      <c r="AK57" s="223"/>
      <c r="AL57" s="222"/>
      <c r="AM57" s="222"/>
      <c r="AN57" s="223"/>
      <c r="AO57" s="224"/>
      <c r="AP57" s="217"/>
      <c r="AQ57" s="217"/>
      <c r="AR57" s="216"/>
      <c r="AS57" s="216"/>
      <c r="AT57" s="217"/>
      <c r="AU57" s="217"/>
      <c r="AV57" s="216"/>
      <c r="AW57" s="216"/>
      <c r="AX57" s="225">
        <f t="shared" si="8"/>
        <v>0</v>
      </c>
      <c r="AY57" s="215"/>
      <c r="AZ57" s="217"/>
      <c r="BA57" s="215"/>
      <c r="BB57" s="8">
        <f t="shared" si="7"/>
        <v>5160</v>
      </c>
    </row>
    <row r="58" spans="1:68" x14ac:dyDescent="0.25">
      <c r="A58" s="142">
        <v>50630</v>
      </c>
      <c r="B58" s="142" t="s">
        <v>87</v>
      </c>
      <c r="C58" s="217"/>
      <c r="D58" s="217"/>
      <c r="E58" s="217"/>
      <c r="F58" s="217">
        <v>2040</v>
      </c>
      <c r="G58" s="217"/>
      <c r="H58" s="217"/>
      <c r="I58" s="217"/>
      <c r="J58" s="217"/>
      <c r="K58" s="217"/>
      <c r="L58" s="217">
        <f t="shared" si="5"/>
        <v>2040</v>
      </c>
      <c r="M58" s="215"/>
      <c r="N58" s="216"/>
      <c r="O58" s="216">
        <v>30786</v>
      </c>
      <c r="P58" s="217"/>
      <c r="Q58" s="217">
        <v>3383</v>
      </c>
      <c r="R58" s="216"/>
      <c r="S58" s="216">
        <v>2687</v>
      </c>
      <c r="T58" s="217"/>
      <c r="U58" s="217">
        <v>938</v>
      </c>
      <c r="V58" s="217"/>
      <c r="W58" s="217"/>
      <c r="X58" s="216"/>
      <c r="Y58" s="216">
        <v>504</v>
      </c>
      <c r="Z58" s="217"/>
      <c r="AA58" s="218"/>
      <c r="AB58" s="219"/>
      <c r="AC58" s="219">
        <v>36473</v>
      </c>
      <c r="AD58" s="220"/>
      <c r="AE58" s="220">
        <v>4009</v>
      </c>
      <c r="AF58" s="219"/>
      <c r="AG58" s="221">
        <v>19177</v>
      </c>
      <c r="AH58" s="222"/>
      <c r="AI58" s="222"/>
      <c r="AJ58" s="223"/>
      <c r="AK58" s="223">
        <v>7280</v>
      </c>
      <c r="AL58" s="222"/>
      <c r="AM58" s="222">
        <v>993</v>
      </c>
      <c r="AN58" s="223"/>
      <c r="AO58" s="224">
        <v>9669</v>
      </c>
      <c r="AP58" s="217"/>
      <c r="AQ58" s="217">
        <v>2673</v>
      </c>
      <c r="AR58" s="216"/>
      <c r="AS58" s="216">
        <v>480</v>
      </c>
      <c r="AT58" s="217"/>
      <c r="AU58" s="217">
        <v>720</v>
      </c>
      <c r="AV58" s="216"/>
      <c r="AW58" s="216">
        <v>12864</v>
      </c>
      <c r="AX58" s="225">
        <f t="shared" si="8"/>
        <v>132636</v>
      </c>
      <c r="AY58" s="215"/>
      <c r="AZ58" s="217"/>
      <c r="BA58" s="215"/>
      <c r="BB58" s="8">
        <f t="shared" si="7"/>
        <v>134676</v>
      </c>
      <c r="BN58" s="215"/>
    </row>
    <row r="59" spans="1:68" ht="14.25" customHeight="1" x14ac:dyDescent="0.25">
      <c r="A59" s="142">
        <v>50635</v>
      </c>
      <c r="B59" s="142" t="s">
        <v>88</v>
      </c>
      <c r="C59" s="217"/>
      <c r="D59" s="217"/>
      <c r="E59" s="217"/>
      <c r="F59" s="217">
        <v>240</v>
      </c>
      <c r="G59" s="217"/>
      <c r="H59" s="217"/>
      <c r="I59" s="217"/>
      <c r="J59" s="217"/>
      <c r="K59" s="217"/>
      <c r="L59" s="217">
        <f t="shared" si="5"/>
        <v>240</v>
      </c>
      <c r="M59" s="215"/>
      <c r="N59" s="216">
        <v>67005</v>
      </c>
      <c r="O59" s="216"/>
      <c r="P59" s="217">
        <v>15911</v>
      </c>
      <c r="Q59" s="217"/>
      <c r="R59" s="216">
        <v>11408</v>
      </c>
      <c r="S59" s="216"/>
      <c r="T59" s="217">
        <v>3247</v>
      </c>
      <c r="U59" s="217"/>
      <c r="V59" s="217"/>
      <c r="W59" s="217"/>
      <c r="X59" s="216"/>
      <c r="Y59" s="216"/>
      <c r="Z59" s="217"/>
      <c r="AA59" s="218">
        <v>12000</v>
      </c>
      <c r="AB59" s="219">
        <v>87555</v>
      </c>
      <c r="AC59" s="219"/>
      <c r="AD59" s="220">
        <v>10891</v>
      </c>
      <c r="AE59" s="220"/>
      <c r="AF59" s="219">
        <v>61451</v>
      </c>
      <c r="AG59" s="221"/>
      <c r="AH59" s="222"/>
      <c r="AI59" s="222"/>
      <c r="AJ59" s="223">
        <v>18607</v>
      </c>
      <c r="AK59" s="223"/>
      <c r="AL59" s="222">
        <v>2510</v>
      </c>
      <c r="AM59" s="222"/>
      <c r="AN59" s="223">
        <v>12640</v>
      </c>
      <c r="AO59" s="224"/>
      <c r="AP59" s="217">
        <v>14956</v>
      </c>
      <c r="AQ59" s="217"/>
      <c r="AR59" s="216"/>
      <c r="AS59" s="216"/>
      <c r="AT59" s="217">
        <v>1992</v>
      </c>
      <c r="AU59" s="217"/>
      <c r="AV59" s="216">
        <v>2772</v>
      </c>
      <c r="AW59" s="216"/>
      <c r="AX59" s="225">
        <f t="shared" si="8"/>
        <v>322945</v>
      </c>
      <c r="AY59" s="215"/>
      <c r="AZ59" s="217">
        <f>ROUND(1316*1.05,0)</f>
        <v>1382</v>
      </c>
      <c r="BA59" s="215"/>
      <c r="BB59" s="8">
        <f t="shared" si="7"/>
        <v>324567</v>
      </c>
      <c r="BN59" s="215"/>
    </row>
    <row r="60" spans="1:68" x14ac:dyDescent="0.25">
      <c r="A60" s="142">
        <v>50640</v>
      </c>
      <c r="B60" s="142" t="s">
        <v>89</v>
      </c>
      <c r="C60" s="217"/>
      <c r="D60" s="217"/>
      <c r="E60" s="217"/>
      <c r="F60" s="217"/>
      <c r="G60" s="217"/>
      <c r="H60" s="217"/>
      <c r="I60" s="217"/>
      <c r="J60" s="217"/>
      <c r="K60" s="217"/>
      <c r="L60" s="217">
        <f t="shared" si="5"/>
        <v>0</v>
      </c>
      <c r="M60" s="215"/>
      <c r="N60" s="216"/>
      <c r="O60" s="216"/>
      <c r="P60" s="217"/>
      <c r="Q60" s="217"/>
      <c r="R60" s="216"/>
      <c r="S60" s="216"/>
      <c r="T60" s="217"/>
      <c r="U60" s="217"/>
      <c r="V60" s="217"/>
      <c r="W60" s="217"/>
      <c r="X60" s="216"/>
      <c r="Y60" s="216"/>
      <c r="Z60" s="217"/>
      <c r="AA60" s="218"/>
      <c r="AB60" s="219"/>
      <c r="AC60" s="219"/>
      <c r="AD60" s="220"/>
      <c r="AE60" s="220"/>
      <c r="AF60" s="219"/>
      <c r="AG60" s="221"/>
      <c r="AH60" s="222"/>
      <c r="AI60" s="222"/>
      <c r="AJ60" s="223"/>
      <c r="AK60" s="223"/>
      <c r="AL60" s="222"/>
      <c r="AM60" s="222"/>
      <c r="AN60" s="223"/>
      <c r="AO60" s="224"/>
      <c r="AP60" s="217"/>
      <c r="AQ60" s="217"/>
      <c r="AR60" s="216"/>
      <c r="AS60" s="216"/>
      <c r="AT60" s="217"/>
      <c r="AU60" s="217"/>
      <c r="AV60" s="216"/>
      <c r="AW60" s="216"/>
      <c r="AX60" s="225">
        <f t="shared" si="8"/>
        <v>0</v>
      </c>
      <c r="AY60" s="215"/>
      <c r="AZ60" s="217">
        <f>ROUND(350*1.05,0)</f>
        <v>368</v>
      </c>
      <c r="BA60" s="215"/>
      <c r="BB60" s="8">
        <f t="shared" si="7"/>
        <v>368</v>
      </c>
      <c r="BN60" s="259"/>
    </row>
    <row r="61" spans="1:68" x14ac:dyDescent="0.25">
      <c r="A61" s="142">
        <v>50810</v>
      </c>
      <c r="B61" s="142" t="s">
        <v>90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>
        <f t="shared" si="5"/>
        <v>0</v>
      </c>
      <c r="M61" s="215"/>
      <c r="N61" s="216">
        <v>72000</v>
      </c>
      <c r="O61" s="216"/>
      <c r="P61" s="217"/>
      <c r="Q61" s="217"/>
      <c r="R61" s="216">
        <v>81504</v>
      </c>
      <c r="S61" s="216"/>
      <c r="T61" s="217">
        <v>137952</v>
      </c>
      <c r="U61" s="217"/>
      <c r="V61" s="217">
        <f>173705+72000</f>
        <v>245705</v>
      </c>
      <c r="W61" s="217"/>
      <c r="X61" s="216"/>
      <c r="Y61" s="216"/>
      <c r="Z61" s="217"/>
      <c r="AA61" s="218"/>
      <c r="AB61" s="219"/>
      <c r="AC61" s="219"/>
      <c r="AD61" s="220"/>
      <c r="AE61" s="220"/>
      <c r="AF61" s="219"/>
      <c r="AG61" s="221"/>
      <c r="AH61" s="222"/>
      <c r="AI61" s="222"/>
      <c r="AJ61" s="223"/>
      <c r="AK61" s="223"/>
      <c r="AL61" s="222">
        <v>20000</v>
      </c>
      <c r="AM61" s="222"/>
      <c r="AN61" s="223"/>
      <c r="AO61" s="224"/>
      <c r="AP61" s="8">
        <v>75000</v>
      </c>
      <c r="AR61" s="216"/>
      <c r="AS61" s="216"/>
      <c r="AT61" s="217"/>
      <c r="AU61" s="217"/>
      <c r="AV61" s="216"/>
      <c r="AW61" s="216"/>
      <c r="AX61" s="225">
        <f t="shared" si="8"/>
        <v>632161</v>
      </c>
      <c r="AY61" s="215"/>
      <c r="AZ61" s="217">
        <f>9968545+100000</f>
        <v>10068545</v>
      </c>
      <c r="BA61" s="215"/>
      <c r="BB61" s="8">
        <f t="shared" si="7"/>
        <v>10700706</v>
      </c>
      <c r="BN61" s="259"/>
    </row>
    <row r="62" spans="1:68" x14ac:dyDescent="0.25">
      <c r="A62" s="142">
        <v>50910</v>
      </c>
      <c r="B62" s="142" t="s">
        <v>91</v>
      </c>
      <c r="C62" s="217">
        <v>34940</v>
      </c>
      <c r="D62" s="217"/>
      <c r="E62" s="217"/>
      <c r="F62" s="217">
        <v>29175</v>
      </c>
      <c r="G62" s="217">
        <v>5000</v>
      </c>
      <c r="H62" s="217">
        <v>3690</v>
      </c>
      <c r="I62" s="217">
        <v>1250</v>
      </c>
      <c r="J62" s="217">
        <v>800</v>
      </c>
      <c r="K62" s="217">
        <v>500</v>
      </c>
      <c r="L62" s="217">
        <f t="shared" si="5"/>
        <v>75355</v>
      </c>
      <c r="M62" s="215"/>
      <c r="N62" s="216"/>
      <c r="O62" s="216"/>
      <c r="P62" s="217"/>
      <c r="Q62" s="217"/>
      <c r="R62" s="216"/>
      <c r="S62" s="216"/>
      <c r="T62" s="217"/>
      <c r="U62" s="217"/>
      <c r="V62" s="217"/>
      <c r="W62" s="217"/>
      <c r="X62" s="216"/>
      <c r="Y62" s="216"/>
      <c r="Z62" s="217">
        <v>1100</v>
      </c>
      <c r="AA62" s="218"/>
      <c r="AB62" s="219"/>
      <c r="AC62" s="219"/>
      <c r="AD62" s="220"/>
      <c r="AE62" s="220"/>
      <c r="AF62" s="219"/>
      <c r="AG62" s="221"/>
      <c r="AH62" s="222"/>
      <c r="AI62" s="222"/>
      <c r="AJ62" s="223"/>
      <c r="AK62" s="223"/>
      <c r="AL62" s="222"/>
      <c r="AM62" s="222"/>
      <c r="AN62" s="223"/>
      <c r="AO62" s="224"/>
      <c r="AP62" s="217"/>
      <c r="AQ62" s="217"/>
      <c r="AR62" s="216"/>
      <c r="AS62" s="216"/>
      <c r="AT62" s="217"/>
      <c r="AU62" s="217"/>
      <c r="AV62" s="216"/>
      <c r="AW62" s="216"/>
      <c r="AX62" s="225">
        <f t="shared" si="8"/>
        <v>1100</v>
      </c>
      <c r="AY62" s="215"/>
      <c r="AZ62" s="217">
        <v>7899</v>
      </c>
      <c r="BA62" s="215"/>
      <c r="BB62" s="8">
        <f t="shared" si="7"/>
        <v>84354</v>
      </c>
      <c r="BN62" s="259"/>
    </row>
    <row r="63" spans="1:68" x14ac:dyDescent="0.25">
      <c r="A63" s="142">
        <v>50915</v>
      </c>
      <c r="B63" s="142" t="s">
        <v>92</v>
      </c>
      <c r="C63" s="217">
        <f>6900-2500</f>
        <v>4400</v>
      </c>
      <c r="D63" s="217"/>
      <c r="E63" s="217">
        <v>6000</v>
      </c>
      <c r="F63" s="217">
        <v>7645</v>
      </c>
      <c r="G63" s="217">
        <f>10200-1250-1500</f>
        <v>7450</v>
      </c>
      <c r="H63" s="217">
        <v>16000</v>
      </c>
      <c r="I63" s="217">
        <v>2000</v>
      </c>
      <c r="J63" s="217">
        <v>1200</v>
      </c>
      <c r="K63" s="217">
        <f>6600-1800-1200</f>
        <v>3600</v>
      </c>
      <c r="L63" s="217">
        <f t="shared" si="5"/>
        <v>48295</v>
      </c>
      <c r="M63" s="215"/>
      <c r="N63" s="216"/>
      <c r="O63" s="216"/>
      <c r="P63" s="217"/>
      <c r="Q63" s="217"/>
      <c r="R63" s="216"/>
      <c r="S63" s="216"/>
      <c r="T63" s="217"/>
      <c r="U63" s="217"/>
      <c r="V63" s="217"/>
      <c r="W63" s="217"/>
      <c r="X63" s="216"/>
      <c r="Y63" s="216">
        <v>12000</v>
      </c>
      <c r="Z63" s="217">
        <v>12000</v>
      </c>
      <c r="AA63" s="218"/>
      <c r="AB63" s="219"/>
      <c r="AC63" s="219"/>
      <c r="AD63" s="220"/>
      <c r="AE63" s="220"/>
      <c r="AF63" s="219"/>
      <c r="AG63" s="221"/>
      <c r="AH63" s="222"/>
      <c r="AI63" s="222"/>
      <c r="AJ63" s="223"/>
      <c r="AK63" s="223"/>
      <c r="AL63" s="222"/>
      <c r="AM63" s="222"/>
      <c r="AN63" s="223"/>
      <c r="AO63" s="224"/>
      <c r="AP63" s="217"/>
      <c r="AQ63" s="217"/>
      <c r="AR63" s="216"/>
      <c r="AS63" s="216">
        <v>2400</v>
      </c>
      <c r="AT63" s="217"/>
      <c r="AU63" s="217"/>
      <c r="AV63" s="216"/>
      <c r="AW63" s="216"/>
      <c r="AX63" s="225">
        <f t="shared" si="8"/>
        <v>26400</v>
      </c>
      <c r="AY63" s="215"/>
      <c r="AZ63" s="217">
        <v>4100</v>
      </c>
      <c r="BA63" s="215"/>
      <c r="BB63" s="8">
        <f t="shared" si="7"/>
        <v>78795</v>
      </c>
      <c r="BN63" s="259"/>
    </row>
    <row r="64" spans="1:68" x14ac:dyDescent="0.25">
      <c r="A64" s="142">
        <v>50920</v>
      </c>
      <c r="B64" s="142" t="s">
        <v>93</v>
      </c>
      <c r="C64" s="217">
        <f>10800-1800</f>
        <v>9000</v>
      </c>
      <c r="D64" s="217"/>
      <c r="E64" s="217">
        <v>12000</v>
      </c>
      <c r="F64" s="217">
        <f>20375-5000</f>
        <v>15375</v>
      </c>
      <c r="G64" s="217">
        <f>15600-3500</f>
        <v>12100</v>
      </c>
      <c r="H64" s="217">
        <v>5000</v>
      </c>
      <c r="I64" s="217">
        <v>2900</v>
      </c>
      <c r="J64" s="217">
        <v>1500</v>
      </c>
      <c r="K64" s="217">
        <f>4800-1200</f>
        <v>3600</v>
      </c>
      <c r="L64" s="217">
        <f t="shared" si="5"/>
        <v>61475</v>
      </c>
      <c r="M64" s="215"/>
      <c r="N64" s="216"/>
      <c r="O64" s="216"/>
      <c r="P64" s="217"/>
      <c r="Q64" s="217"/>
      <c r="R64" s="216">
        <v>6000</v>
      </c>
      <c r="S64" s="216"/>
      <c r="T64" s="217">
        <v>6000</v>
      </c>
      <c r="U64" s="217"/>
      <c r="V64" s="217"/>
      <c r="W64" s="217"/>
      <c r="X64" s="216">
        <v>300</v>
      </c>
      <c r="Y64" s="216">
        <v>12000</v>
      </c>
      <c r="Z64" s="217">
        <v>12000</v>
      </c>
      <c r="AA64" s="218"/>
      <c r="AB64" s="219"/>
      <c r="AC64" s="219"/>
      <c r="AD64" s="220"/>
      <c r="AE64" s="220"/>
      <c r="AF64" s="219"/>
      <c r="AG64" s="221"/>
      <c r="AH64" s="222"/>
      <c r="AI64" s="222"/>
      <c r="AJ64" s="223"/>
      <c r="AK64" s="223"/>
      <c r="AL64" s="222"/>
      <c r="AM64" s="222"/>
      <c r="AN64" s="223"/>
      <c r="AO64" s="224"/>
      <c r="AP64" s="217"/>
      <c r="AQ64" s="217"/>
      <c r="AR64" s="216"/>
      <c r="AS64" s="216">
        <v>1200</v>
      </c>
      <c r="AT64" s="217"/>
      <c r="AU64" s="217">
        <v>2400</v>
      </c>
      <c r="AV64" s="216"/>
      <c r="AW64" s="216">
        <v>6000</v>
      </c>
      <c r="AX64" s="225">
        <f t="shared" si="8"/>
        <v>45900</v>
      </c>
      <c r="AY64" s="215"/>
      <c r="AZ64" s="217">
        <v>5853</v>
      </c>
      <c r="BA64" s="215"/>
      <c r="BB64" s="8">
        <f t="shared" si="7"/>
        <v>113228</v>
      </c>
      <c r="BI64" s="275"/>
      <c r="BN64" s="276"/>
      <c r="BO64" s="275"/>
      <c r="BP64" s="275"/>
    </row>
    <row r="65" spans="1:69" x14ac:dyDescent="0.25">
      <c r="A65" s="142">
        <v>50925</v>
      </c>
      <c r="B65" s="142" t="s">
        <v>94</v>
      </c>
      <c r="C65" s="217">
        <v>500</v>
      </c>
      <c r="D65" s="217"/>
      <c r="E65" s="217">
        <v>1000</v>
      </c>
      <c r="F65" s="217">
        <v>1200</v>
      </c>
      <c r="G65" s="217">
        <v>2000</v>
      </c>
      <c r="H65" s="217">
        <v>1250</v>
      </c>
      <c r="I65" s="217">
        <v>550</v>
      </c>
      <c r="J65" s="217">
        <v>600</v>
      </c>
      <c r="K65" s="217">
        <v>2400</v>
      </c>
      <c r="L65" s="217">
        <f t="shared" si="5"/>
        <v>9500</v>
      </c>
      <c r="M65" s="215"/>
      <c r="N65" s="216"/>
      <c r="O65" s="216"/>
      <c r="P65" s="217"/>
      <c r="Q65" s="217"/>
      <c r="R65" s="216"/>
      <c r="S65" s="216"/>
      <c r="T65" s="217"/>
      <c r="U65" s="217"/>
      <c r="V65" s="217"/>
      <c r="W65" s="217"/>
      <c r="X65" s="216"/>
      <c r="Y65" s="216">
        <v>1000</v>
      </c>
      <c r="Z65" s="217">
        <v>2400</v>
      </c>
      <c r="AA65" s="218"/>
      <c r="AB65" s="219"/>
      <c r="AC65" s="219"/>
      <c r="AD65" s="220"/>
      <c r="AE65" s="220"/>
      <c r="AF65" s="219"/>
      <c r="AG65" s="221"/>
      <c r="AH65" s="222"/>
      <c r="AI65" s="222"/>
      <c r="AJ65" s="223"/>
      <c r="AK65" s="223"/>
      <c r="AL65" s="222"/>
      <c r="AM65" s="222"/>
      <c r="AN65" s="223"/>
      <c r="AO65" s="224"/>
      <c r="AP65" s="217"/>
      <c r="AQ65" s="217"/>
      <c r="AR65" s="216"/>
      <c r="AS65" s="216"/>
      <c r="AT65" s="217"/>
      <c r="AU65" s="217"/>
      <c r="AV65" s="216"/>
      <c r="AW65" s="216"/>
      <c r="AX65" s="225">
        <f t="shared" si="8"/>
        <v>3400</v>
      </c>
      <c r="AY65" s="215"/>
      <c r="AZ65" s="217">
        <v>200</v>
      </c>
      <c r="BA65" s="215"/>
      <c r="BB65" s="8">
        <f t="shared" si="7"/>
        <v>13100</v>
      </c>
      <c r="BI65" s="275"/>
      <c r="BN65" s="276"/>
      <c r="BO65" s="277"/>
      <c r="BP65" s="275"/>
    </row>
    <row r="66" spans="1:69" x14ac:dyDescent="0.25">
      <c r="A66" s="142">
        <v>50930</v>
      </c>
      <c r="B66" s="142" t="s">
        <v>95</v>
      </c>
      <c r="C66" s="217">
        <v>8000</v>
      </c>
      <c r="D66" s="217">
        <v>2250</v>
      </c>
      <c r="E66" s="217">
        <v>6800</v>
      </c>
      <c r="F66" s="217">
        <v>3600</v>
      </c>
      <c r="G66" s="217">
        <v>2800</v>
      </c>
      <c r="H66" s="217">
        <v>2500</v>
      </c>
      <c r="I66" s="217"/>
      <c r="J66" s="217">
        <v>480</v>
      </c>
      <c r="K66" s="217">
        <f>600-300</f>
        <v>300</v>
      </c>
      <c r="L66" s="217">
        <f t="shared" si="5"/>
        <v>26730</v>
      </c>
      <c r="M66" s="215"/>
      <c r="N66" s="216"/>
      <c r="O66" s="216"/>
      <c r="P66" s="217"/>
      <c r="Q66" s="217"/>
      <c r="R66" s="216"/>
      <c r="S66" s="216"/>
      <c r="T66" s="217"/>
      <c r="U66" s="217"/>
      <c r="V66" s="217"/>
      <c r="W66" s="217"/>
      <c r="X66" s="216"/>
      <c r="Y66" s="216">
        <v>8400</v>
      </c>
      <c r="Z66" s="217">
        <v>600</v>
      </c>
      <c r="AA66" s="218"/>
      <c r="AB66" s="219"/>
      <c r="AC66" s="219"/>
      <c r="AD66" s="220"/>
      <c r="AE66" s="220"/>
      <c r="AF66" s="219"/>
      <c r="AG66" s="221"/>
      <c r="AH66" s="222"/>
      <c r="AI66" s="222"/>
      <c r="AJ66" s="223"/>
      <c r="AK66" s="223"/>
      <c r="AL66" s="222"/>
      <c r="AM66" s="222"/>
      <c r="AN66" s="223"/>
      <c r="AO66" s="224"/>
      <c r="AP66" s="217"/>
      <c r="AQ66" s="217"/>
      <c r="AR66" s="216"/>
      <c r="AS66" s="216"/>
      <c r="AT66" s="217"/>
      <c r="AU66" s="217"/>
      <c r="AV66" s="216"/>
      <c r="AW66" s="216"/>
      <c r="AX66" s="225">
        <f t="shared" si="8"/>
        <v>9000</v>
      </c>
      <c r="AY66" s="215"/>
      <c r="AZ66" s="217">
        <v>400</v>
      </c>
      <c r="BA66" s="215"/>
      <c r="BB66" s="8">
        <f t="shared" si="7"/>
        <v>36130</v>
      </c>
      <c r="BI66" s="275"/>
      <c r="BN66" s="276"/>
      <c r="BO66" s="275"/>
      <c r="BP66" s="275"/>
    </row>
    <row r="67" spans="1:69" x14ac:dyDescent="0.25">
      <c r="A67" s="142">
        <v>50935</v>
      </c>
      <c r="B67" s="142" t="s">
        <v>96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>
        <f t="shared" si="5"/>
        <v>0</v>
      </c>
      <c r="M67" s="215"/>
      <c r="N67" s="216"/>
      <c r="O67" s="216"/>
      <c r="P67" s="217"/>
      <c r="Q67" s="217"/>
      <c r="R67" s="216"/>
      <c r="S67" s="216"/>
      <c r="T67" s="217"/>
      <c r="U67" s="217"/>
      <c r="V67" s="217"/>
      <c r="W67" s="217"/>
      <c r="X67" s="216"/>
      <c r="Y67" s="216"/>
      <c r="Z67" s="217"/>
      <c r="AA67" s="218"/>
      <c r="AB67" s="219"/>
      <c r="AC67" s="219"/>
      <c r="AD67" s="220"/>
      <c r="AE67" s="220"/>
      <c r="AF67" s="219"/>
      <c r="AG67" s="221"/>
      <c r="AH67" s="222"/>
      <c r="AI67" s="222"/>
      <c r="AJ67" s="223"/>
      <c r="AK67" s="223"/>
      <c r="AL67" s="222"/>
      <c r="AM67" s="222"/>
      <c r="AN67" s="223"/>
      <c r="AO67" s="224"/>
      <c r="AP67" s="217">
        <v>51420</v>
      </c>
      <c r="AQ67" s="217"/>
      <c r="AR67" s="216"/>
      <c r="AS67" s="216"/>
      <c r="AT67" s="217"/>
      <c r="AU67" s="217"/>
      <c r="AV67" s="216"/>
      <c r="AW67" s="216"/>
      <c r="AX67" s="225">
        <f t="shared" si="8"/>
        <v>51420</v>
      </c>
      <c r="AY67" s="215"/>
      <c r="AZ67" s="217"/>
      <c r="BA67" s="215"/>
      <c r="BB67" s="8">
        <f t="shared" si="7"/>
        <v>51420</v>
      </c>
      <c r="BN67" s="259"/>
    </row>
    <row r="68" spans="1:69" x14ac:dyDescent="0.25">
      <c r="A68" s="142">
        <v>50940</v>
      </c>
      <c r="B68" s="142" t="s">
        <v>342</v>
      </c>
      <c r="C68" s="217">
        <f>4000-2000</f>
        <v>2000</v>
      </c>
      <c r="D68" s="217"/>
      <c r="E68" s="217">
        <f>2500-1000</f>
        <v>1500</v>
      </c>
      <c r="F68" s="217"/>
      <c r="G68" s="217"/>
      <c r="H68" s="217"/>
      <c r="I68" s="217"/>
      <c r="J68" s="217">
        <v>10500</v>
      </c>
      <c r="K68" s="217"/>
      <c r="L68" s="217">
        <f t="shared" si="5"/>
        <v>14000</v>
      </c>
      <c r="M68" s="215"/>
      <c r="N68" s="216"/>
      <c r="O68" s="216"/>
      <c r="P68" s="217"/>
      <c r="Q68" s="217"/>
      <c r="R68" s="216"/>
      <c r="S68" s="216"/>
      <c r="T68" s="217"/>
      <c r="U68" s="217"/>
      <c r="V68" s="217"/>
      <c r="W68" s="217"/>
      <c r="X68" s="216"/>
      <c r="Y68" s="216">
        <v>4800</v>
      </c>
      <c r="Z68" s="217"/>
      <c r="AA68" s="278"/>
      <c r="AB68" s="279"/>
      <c r="AC68" s="279"/>
      <c r="AD68" s="280"/>
      <c r="AE68" s="280"/>
      <c r="AF68" s="279"/>
      <c r="AG68" s="281"/>
      <c r="AH68" s="222"/>
      <c r="AI68" s="222"/>
      <c r="AJ68" s="223"/>
      <c r="AK68" s="223"/>
      <c r="AL68" s="222"/>
      <c r="AM68" s="222"/>
      <c r="AN68" s="223"/>
      <c r="AO68" s="224"/>
      <c r="AP68" s="217"/>
      <c r="AQ68" s="217"/>
      <c r="AR68" s="216"/>
      <c r="AS68" s="216"/>
      <c r="AT68" s="217"/>
      <c r="AU68" s="217"/>
      <c r="AV68" s="216"/>
      <c r="AW68" s="216"/>
      <c r="AX68" s="225">
        <f t="shared" si="8"/>
        <v>4800</v>
      </c>
      <c r="AY68" s="215"/>
      <c r="AZ68" s="217"/>
      <c r="BA68" s="215"/>
      <c r="BB68" s="8">
        <f t="shared" si="7"/>
        <v>18800</v>
      </c>
      <c r="BN68" s="259"/>
    </row>
    <row r="69" spans="1:69" x14ac:dyDescent="0.25">
      <c r="A69" s="142">
        <v>50945</v>
      </c>
      <c r="B69" s="142" t="s">
        <v>97</v>
      </c>
      <c r="C69" s="217">
        <f>2000-1000</f>
        <v>1000</v>
      </c>
      <c r="D69" s="217"/>
      <c r="E69" s="217">
        <f>2000-1000</f>
        <v>1000</v>
      </c>
      <c r="F69" s="217">
        <v>4810</v>
      </c>
      <c r="G69" s="217">
        <v>2500</v>
      </c>
      <c r="H69" s="217"/>
      <c r="I69" s="217">
        <v>300</v>
      </c>
      <c r="J69" s="217">
        <v>21200</v>
      </c>
      <c r="K69" s="217">
        <v>6000</v>
      </c>
      <c r="L69" s="217">
        <f t="shared" si="5"/>
        <v>36810</v>
      </c>
      <c r="M69" s="215"/>
      <c r="N69" s="216"/>
      <c r="O69" s="216"/>
      <c r="P69" s="217"/>
      <c r="Q69" s="217"/>
      <c r="R69" s="216"/>
      <c r="S69" s="216"/>
      <c r="T69" s="217"/>
      <c r="U69" s="217"/>
      <c r="V69" s="217"/>
      <c r="W69" s="217"/>
      <c r="X69" s="216"/>
      <c r="Y69" s="216">
        <v>19000</v>
      </c>
      <c r="Z69" s="217">
        <v>3600</v>
      </c>
      <c r="AA69" s="218"/>
      <c r="AB69" s="219"/>
      <c r="AC69" s="219"/>
      <c r="AD69" s="220"/>
      <c r="AE69" s="220"/>
      <c r="AF69" s="219"/>
      <c r="AG69" s="221"/>
      <c r="AH69" s="222"/>
      <c r="AI69" s="222"/>
      <c r="AJ69" s="223"/>
      <c r="AK69" s="223"/>
      <c r="AL69" s="222"/>
      <c r="AM69" s="222"/>
      <c r="AN69" s="223"/>
      <c r="AO69" s="224"/>
      <c r="AP69" s="217"/>
      <c r="AQ69" s="217"/>
      <c r="AR69" s="216"/>
      <c r="AS69" s="216">
        <v>6000</v>
      </c>
      <c r="AT69" s="217"/>
      <c r="AU69" s="217">
        <v>6000</v>
      </c>
      <c r="AV69" s="216"/>
      <c r="AW69" s="216">
        <v>12000</v>
      </c>
      <c r="AX69" s="225">
        <f t="shared" si="8"/>
        <v>46600</v>
      </c>
      <c r="AY69" s="215"/>
      <c r="AZ69" s="217">
        <v>1200</v>
      </c>
      <c r="BA69" s="215"/>
      <c r="BB69" s="8">
        <f t="shared" si="7"/>
        <v>84610</v>
      </c>
      <c r="BN69" s="215"/>
      <c r="BO69" s="13"/>
    </row>
    <row r="70" spans="1:69" x14ac:dyDescent="0.25">
      <c r="A70" s="142">
        <v>51010</v>
      </c>
      <c r="B70" s="142" t="s">
        <v>98</v>
      </c>
      <c r="C70" s="217"/>
      <c r="D70" s="217">
        <v>122500</v>
      </c>
      <c r="E70" s="217"/>
      <c r="F70" s="217"/>
      <c r="G70" s="217"/>
      <c r="H70" s="217">
        <v>3000</v>
      </c>
      <c r="I70" s="217"/>
      <c r="J70" s="217"/>
      <c r="K70" s="217"/>
      <c r="L70" s="217">
        <f t="shared" si="5"/>
        <v>125500</v>
      </c>
      <c r="M70" s="215"/>
      <c r="N70" s="216"/>
      <c r="O70" s="216"/>
      <c r="P70" s="217"/>
      <c r="Q70" s="217"/>
      <c r="R70" s="216"/>
      <c r="S70" s="216"/>
      <c r="T70" s="217"/>
      <c r="U70" s="217"/>
      <c r="V70" s="217"/>
      <c r="W70" s="217"/>
      <c r="X70" s="216">
        <v>2472</v>
      </c>
      <c r="Y70" s="216"/>
      <c r="Z70" s="217"/>
      <c r="AA70" s="218"/>
      <c r="AB70" s="219"/>
      <c r="AC70" s="219"/>
      <c r="AD70" s="220"/>
      <c r="AE70" s="220"/>
      <c r="AF70" s="219"/>
      <c r="AG70" s="221"/>
      <c r="AH70" s="222"/>
      <c r="AI70" s="222"/>
      <c r="AJ70" s="223"/>
      <c r="AK70" s="223"/>
      <c r="AL70" s="222"/>
      <c r="AM70" s="222"/>
      <c r="AN70" s="223"/>
      <c r="AO70" s="224"/>
      <c r="AP70" s="217">
        <v>97581</v>
      </c>
      <c r="AQ70" s="217"/>
      <c r="AR70" s="216">
        <v>1680</v>
      </c>
      <c r="AS70" s="216"/>
      <c r="AT70" s="217"/>
      <c r="AU70" s="217"/>
      <c r="AV70" s="216"/>
      <c r="AW70" s="216"/>
      <c r="AX70" s="225">
        <f t="shared" si="8"/>
        <v>101733</v>
      </c>
      <c r="AY70" s="215"/>
      <c r="AZ70" s="217">
        <f>2400</f>
        <v>2400</v>
      </c>
      <c r="BA70" s="215"/>
      <c r="BB70" s="8">
        <f t="shared" si="7"/>
        <v>229633</v>
      </c>
      <c r="BL70" s="328"/>
      <c r="BM70" s="328"/>
      <c r="BN70" s="215"/>
    </row>
    <row r="71" spans="1:69" x14ac:dyDescent="0.25">
      <c r="A71" s="142">
        <v>51310</v>
      </c>
      <c r="B71" s="142" t="s">
        <v>99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7">
        <f t="shared" si="5"/>
        <v>0</v>
      </c>
      <c r="M71" s="215"/>
      <c r="N71" s="216"/>
      <c r="O71" s="216"/>
      <c r="P71" s="217"/>
      <c r="Q71" s="217"/>
      <c r="R71" s="216"/>
      <c r="S71" s="216"/>
      <c r="T71" s="217"/>
      <c r="U71" s="217"/>
      <c r="V71" s="217"/>
      <c r="W71" s="217"/>
      <c r="X71" s="216">
        <v>275194</v>
      </c>
      <c r="Y71" s="216"/>
      <c r="Z71" s="217"/>
      <c r="AA71" s="218"/>
      <c r="AB71" s="219"/>
      <c r="AC71" s="219"/>
      <c r="AD71" s="220"/>
      <c r="AE71" s="220"/>
      <c r="AF71" s="219"/>
      <c r="AG71" s="221"/>
      <c r="AH71" s="222"/>
      <c r="AI71" s="222"/>
      <c r="AJ71" s="223"/>
      <c r="AK71" s="223"/>
      <c r="AL71" s="222"/>
      <c r="AM71" s="222"/>
      <c r="AN71" s="223"/>
      <c r="AO71" s="224"/>
      <c r="AP71" s="217"/>
      <c r="AQ71" s="217"/>
      <c r="AR71" s="216"/>
      <c r="AS71" s="216"/>
      <c r="AT71" s="217"/>
      <c r="AU71" s="217"/>
      <c r="AV71" s="216"/>
      <c r="AW71" s="216"/>
      <c r="AX71" s="225">
        <f t="shared" si="8"/>
        <v>275194</v>
      </c>
      <c r="AY71" s="215"/>
      <c r="AZ71" s="217">
        <v>430296</v>
      </c>
      <c r="BA71" s="215"/>
      <c r="BB71" s="8">
        <f t="shared" si="7"/>
        <v>705490</v>
      </c>
      <c r="BN71" s="215"/>
    </row>
    <row r="72" spans="1:69" x14ac:dyDescent="0.25">
      <c r="A72" s="142">
        <v>51315</v>
      </c>
      <c r="B72" s="142" t="s">
        <v>100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7">
        <f t="shared" si="5"/>
        <v>0</v>
      </c>
      <c r="M72" s="215"/>
      <c r="N72" s="216"/>
      <c r="O72" s="216"/>
      <c r="P72" s="217"/>
      <c r="Q72" s="217"/>
      <c r="R72" s="216"/>
      <c r="S72" s="216"/>
      <c r="T72" s="217"/>
      <c r="U72" s="217"/>
      <c r="V72" s="217"/>
      <c r="W72" s="217"/>
      <c r="X72" s="216">
        <v>111587</v>
      </c>
      <c r="Y72" s="216"/>
      <c r="Z72" s="217"/>
      <c r="AA72" s="218"/>
      <c r="AB72" s="219"/>
      <c r="AC72" s="219"/>
      <c r="AD72" s="220"/>
      <c r="AE72" s="220"/>
      <c r="AF72" s="219"/>
      <c r="AG72" s="221"/>
      <c r="AH72" s="222"/>
      <c r="AI72" s="222"/>
      <c r="AJ72" s="223"/>
      <c r="AK72" s="223"/>
      <c r="AL72" s="222"/>
      <c r="AM72" s="222"/>
      <c r="AN72" s="223"/>
      <c r="AO72" s="224"/>
      <c r="AP72" s="217"/>
      <c r="AQ72" s="217"/>
      <c r="AR72" s="216"/>
      <c r="AS72" s="216"/>
      <c r="AT72" s="217"/>
      <c r="AU72" s="217"/>
      <c r="AV72" s="216"/>
      <c r="AW72" s="216"/>
      <c r="AX72" s="225">
        <f t="shared" si="8"/>
        <v>111587</v>
      </c>
      <c r="AY72" s="215"/>
      <c r="AZ72" s="217">
        <v>374934</v>
      </c>
      <c r="BA72" s="215"/>
      <c r="BB72" s="8">
        <f t="shared" si="7"/>
        <v>486521</v>
      </c>
      <c r="BN72" s="259"/>
    </row>
    <row r="73" spans="1:69" x14ac:dyDescent="0.25">
      <c r="A73" s="142">
        <v>51320</v>
      </c>
      <c r="B73" s="142" t="s">
        <v>101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>
        <f t="shared" si="5"/>
        <v>0</v>
      </c>
      <c r="M73" s="215"/>
      <c r="N73" s="216"/>
      <c r="O73" s="216"/>
      <c r="P73" s="217"/>
      <c r="Q73" s="217"/>
      <c r="R73" s="216"/>
      <c r="S73" s="216"/>
      <c r="T73" s="217"/>
      <c r="U73" s="217"/>
      <c r="V73" s="217"/>
      <c r="W73" s="217"/>
      <c r="X73" s="216"/>
      <c r="Y73" s="216"/>
      <c r="Z73" s="217"/>
      <c r="AA73" s="218"/>
      <c r="AB73" s="219"/>
      <c r="AC73" s="219"/>
      <c r="AD73" s="220"/>
      <c r="AE73" s="220"/>
      <c r="AF73" s="219"/>
      <c r="AG73" s="221"/>
      <c r="AH73" s="222"/>
      <c r="AI73" s="222"/>
      <c r="AJ73" s="223"/>
      <c r="AK73" s="223"/>
      <c r="AL73" s="222"/>
      <c r="AM73" s="222"/>
      <c r="AN73" s="223"/>
      <c r="AO73" s="224"/>
      <c r="AP73" s="217"/>
      <c r="AQ73" s="217"/>
      <c r="AR73" s="216"/>
      <c r="AS73" s="216"/>
      <c r="AT73" s="217"/>
      <c r="AU73" s="217"/>
      <c r="AV73" s="216"/>
      <c r="AW73" s="216"/>
      <c r="AX73" s="225">
        <f t="shared" si="8"/>
        <v>0</v>
      </c>
      <c r="AY73" s="215"/>
      <c r="AZ73" s="217"/>
      <c r="BA73" s="215"/>
      <c r="BB73" s="8">
        <f t="shared" si="7"/>
        <v>0</v>
      </c>
      <c r="BN73" s="8"/>
    </row>
    <row r="74" spans="1:69" x14ac:dyDescent="0.25">
      <c r="A74" s="142">
        <v>51325</v>
      </c>
      <c r="B74" s="142" t="s">
        <v>102</v>
      </c>
      <c r="C74" s="217"/>
      <c r="D74" s="217">
        <v>29536</v>
      </c>
      <c r="E74" s="217"/>
      <c r="F74" s="217"/>
      <c r="G74" s="217"/>
      <c r="H74" s="217"/>
      <c r="I74" s="217"/>
      <c r="J74" s="217"/>
      <c r="K74" s="217"/>
      <c r="L74" s="217">
        <f t="shared" si="5"/>
        <v>29536</v>
      </c>
      <c r="M74" s="215"/>
      <c r="N74" s="216"/>
      <c r="O74" s="216"/>
      <c r="P74" s="217"/>
      <c r="Q74" s="217"/>
      <c r="R74" s="216"/>
      <c r="S74" s="216"/>
      <c r="T74" s="217"/>
      <c r="U74" s="217"/>
      <c r="V74" s="217"/>
      <c r="W74" s="217"/>
      <c r="X74" s="216">
        <f>309594+8000</f>
        <v>317594</v>
      </c>
      <c r="Y74" s="216"/>
      <c r="Z74" s="217"/>
      <c r="AA74" s="218"/>
      <c r="AB74" s="219"/>
      <c r="AC74" s="219"/>
      <c r="AD74" s="220"/>
      <c r="AE74" s="220"/>
      <c r="AF74" s="219"/>
      <c r="AG74" s="221"/>
      <c r="AH74" s="222"/>
      <c r="AI74" s="222"/>
      <c r="AJ74" s="223"/>
      <c r="AK74" s="223"/>
      <c r="AL74" s="222"/>
      <c r="AM74" s="222"/>
      <c r="AN74" s="223"/>
      <c r="AO74" s="224"/>
      <c r="AP74" s="217"/>
      <c r="AQ74" s="217"/>
      <c r="AR74" s="216"/>
      <c r="AS74" s="216"/>
      <c r="AT74" s="217"/>
      <c r="AU74" s="217"/>
      <c r="AV74" s="216"/>
      <c r="AW74" s="216"/>
      <c r="AX74" s="225">
        <f t="shared" si="8"/>
        <v>317594</v>
      </c>
      <c r="AY74" s="215"/>
      <c r="AZ74" s="217">
        <v>300120</v>
      </c>
      <c r="BA74" s="215"/>
      <c r="BB74" s="8">
        <f t="shared" si="7"/>
        <v>647250</v>
      </c>
      <c r="BM74" s="283"/>
      <c r="BN74" s="37"/>
      <c r="BQ74" s="38"/>
    </row>
    <row r="75" spans="1:69" x14ac:dyDescent="0.25">
      <c r="A75" s="142">
        <v>51326</v>
      </c>
      <c r="B75" s="142" t="s">
        <v>103</v>
      </c>
      <c r="C75" s="217"/>
      <c r="D75" s="217">
        <v>70000</v>
      </c>
      <c r="E75" s="217"/>
      <c r="F75" s="217"/>
      <c r="G75" s="217"/>
      <c r="H75" s="217"/>
      <c r="I75" s="217"/>
      <c r="J75" s="217"/>
      <c r="K75" s="217"/>
      <c r="L75" s="217">
        <f t="shared" si="5"/>
        <v>70000</v>
      </c>
      <c r="M75" s="215"/>
      <c r="N75" s="216"/>
      <c r="O75" s="216"/>
      <c r="P75" s="217"/>
      <c r="Q75" s="217"/>
      <c r="R75" s="216"/>
      <c r="S75" s="216"/>
      <c r="T75" s="217"/>
      <c r="U75" s="217"/>
      <c r="V75" s="217"/>
      <c r="W75" s="217"/>
      <c r="X75" s="216">
        <v>34380</v>
      </c>
      <c r="Y75" s="216"/>
      <c r="Z75" s="217"/>
      <c r="AA75" s="218"/>
      <c r="AB75" s="219"/>
      <c r="AC75" s="219"/>
      <c r="AD75" s="220"/>
      <c r="AE75" s="220"/>
      <c r="AF75" s="219"/>
      <c r="AG75" s="221"/>
      <c r="AH75" s="222"/>
      <c r="AI75" s="222"/>
      <c r="AJ75" s="223"/>
      <c r="AK75" s="223"/>
      <c r="AL75" s="222"/>
      <c r="AM75" s="222"/>
      <c r="AN75" s="223"/>
      <c r="AO75" s="224"/>
      <c r="AP75" s="217"/>
      <c r="AQ75" s="217"/>
      <c r="AR75" s="216"/>
      <c r="AS75" s="216"/>
      <c r="AT75" s="217"/>
      <c r="AU75" s="217"/>
      <c r="AV75" s="216"/>
      <c r="AW75" s="216"/>
      <c r="AX75" s="225">
        <f t="shared" si="8"/>
        <v>34380</v>
      </c>
      <c r="AY75" s="215"/>
      <c r="AZ75" s="217">
        <v>30000</v>
      </c>
      <c r="BA75" s="215"/>
      <c r="BB75" s="8">
        <f t="shared" si="7"/>
        <v>134380</v>
      </c>
      <c r="BN75" s="8"/>
      <c r="BQ75" s="38"/>
    </row>
    <row r="76" spans="1:69" x14ac:dyDescent="0.25">
      <c r="A76" s="142">
        <v>51330</v>
      </c>
      <c r="B76" s="142" t="s">
        <v>104</v>
      </c>
      <c r="C76" s="215"/>
      <c r="D76" s="215"/>
      <c r="E76" s="215"/>
      <c r="F76" s="215"/>
      <c r="G76" s="215"/>
      <c r="H76" s="215"/>
      <c r="I76" s="215"/>
      <c r="J76" s="215"/>
      <c r="K76" s="215"/>
      <c r="L76" s="215">
        <f t="shared" si="5"/>
        <v>0</v>
      </c>
      <c r="M76" s="215"/>
      <c r="N76" s="284"/>
      <c r="O76" s="284"/>
      <c r="P76" s="215"/>
      <c r="Q76" s="215"/>
      <c r="R76" s="284"/>
      <c r="S76" s="284"/>
      <c r="T76" s="215"/>
      <c r="U76" s="215"/>
      <c r="V76" s="215"/>
      <c r="W76" s="215"/>
      <c r="X76" s="284">
        <v>915778</v>
      </c>
      <c r="Y76" s="284"/>
      <c r="Z76" s="215"/>
      <c r="AA76" s="218"/>
      <c r="AB76" s="285"/>
      <c r="AC76" s="285"/>
      <c r="AD76" s="286"/>
      <c r="AE76" s="286"/>
      <c r="AF76" s="285"/>
      <c r="AG76" s="221"/>
      <c r="AH76" s="287"/>
      <c r="AI76" s="287"/>
      <c r="AJ76" s="288"/>
      <c r="AK76" s="288"/>
      <c r="AL76" s="287"/>
      <c r="AM76" s="287"/>
      <c r="AN76" s="288"/>
      <c r="AO76" s="224"/>
      <c r="AP76" s="215"/>
      <c r="AQ76" s="215"/>
      <c r="AR76" s="284"/>
      <c r="AS76" s="284"/>
      <c r="AT76" s="215"/>
      <c r="AU76" s="215"/>
      <c r="AV76" s="284"/>
      <c r="AW76" s="284"/>
      <c r="AX76" s="225">
        <f t="shared" si="8"/>
        <v>915778</v>
      </c>
      <c r="AY76" s="215"/>
      <c r="AZ76" s="215"/>
      <c r="BA76" s="215"/>
      <c r="BB76" s="8">
        <f t="shared" si="7"/>
        <v>915778</v>
      </c>
      <c r="BM76" s="283"/>
      <c r="BN76" s="37"/>
      <c r="BQ76" s="38"/>
    </row>
    <row r="77" spans="1:69" x14ac:dyDescent="0.25">
      <c r="A77" s="142">
        <v>51335</v>
      </c>
      <c r="B77" s="142" t="s">
        <v>105</v>
      </c>
      <c r="C77" s="215"/>
      <c r="D77" s="215"/>
      <c r="E77" s="215"/>
      <c r="F77" s="215"/>
      <c r="G77" s="215"/>
      <c r="H77" s="215"/>
      <c r="I77" s="215"/>
      <c r="J77" s="215"/>
      <c r="K77" s="215"/>
      <c r="L77" s="215">
        <f t="shared" si="5"/>
        <v>0</v>
      </c>
      <c r="M77" s="215"/>
      <c r="N77" s="284"/>
      <c r="O77" s="284"/>
      <c r="P77" s="215"/>
      <c r="Q77" s="215"/>
      <c r="R77" s="284"/>
      <c r="S77" s="284"/>
      <c r="T77" s="215"/>
      <c r="U77" s="215"/>
      <c r="V77" s="215"/>
      <c r="W77" s="215"/>
      <c r="X77" s="284"/>
      <c r="Y77" s="284"/>
      <c r="Z77" s="215"/>
      <c r="AA77" s="218"/>
      <c r="AB77" s="285"/>
      <c r="AC77" s="285"/>
      <c r="AD77" s="286"/>
      <c r="AE77" s="286"/>
      <c r="AF77" s="285"/>
      <c r="AG77" s="221"/>
      <c r="AH77" s="287"/>
      <c r="AI77" s="287"/>
      <c r="AJ77" s="288"/>
      <c r="AK77" s="288"/>
      <c r="AL77" s="287"/>
      <c r="AM77" s="287"/>
      <c r="AN77" s="288"/>
      <c r="AO77" s="224"/>
      <c r="AP77" s="215"/>
      <c r="AQ77" s="215"/>
      <c r="AR77" s="284"/>
      <c r="AS77" s="284"/>
      <c r="AT77" s="215"/>
      <c r="AU77" s="215"/>
      <c r="AV77" s="284"/>
      <c r="AW77" s="284"/>
      <c r="AX77" s="225">
        <f t="shared" si="8"/>
        <v>0</v>
      </c>
      <c r="AY77" s="215"/>
      <c r="AZ77" s="215">
        <v>6872775</v>
      </c>
      <c r="BA77" s="215"/>
      <c r="BB77" s="8">
        <f t="shared" si="7"/>
        <v>6872775</v>
      </c>
      <c r="BN77" s="8"/>
      <c r="BQ77" s="38"/>
    </row>
    <row r="78" spans="1:69" x14ac:dyDescent="0.25">
      <c r="A78" s="39">
        <v>51340</v>
      </c>
      <c r="B78" s="39" t="s">
        <v>106</v>
      </c>
      <c r="C78" s="228"/>
      <c r="D78" s="228"/>
      <c r="E78" s="228"/>
      <c r="F78" s="228"/>
      <c r="G78" s="228"/>
      <c r="H78" s="228"/>
      <c r="I78" s="228"/>
      <c r="J78" s="228"/>
      <c r="K78" s="228"/>
      <c r="L78" s="228">
        <f t="shared" si="5"/>
        <v>0</v>
      </c>
      <c r="M78" s="215"/>
      <c r="N78" s="227"/>
      <c r="O78" s="227"/>
      <c r="P78" s="228"/>
      <c r="Q78" s="228"/>
      <c r="R78" s="227"/>
      <c r="S78" s="227"/>
      <c r="T78" s="228"/>
      <c r="U78" s="228"/>
      <c r="V78" s="228"/>
      <c r="W78" s="228"/>
      <c r="X78" s="227"/>
      <c r="Y78" s="227"/>
      <c r="Z78" s="228"/>
      <c r="AA78" s="229"/>
      <c r="AB78" s="230"/>
      <c r="AC78" s="230"/>
      <c r="AD78" s="231"/>
      <c r="AE78" s="231"/>
      <c r="AF78" s="230"/>
      <c r="AG78" s="221"/>
      <c r="AH78" s="233"/>
      <c r="AI78" s="233"/>
      <c r="AJ78" s="234"/>
      <c r="AK78" s="234"/>
      <c r="AL78" s="233"/>
      <c r="AM78" s="233"/>
      <c r="AN78" s="234"/>
      <c r="AO78" s="224"/>
      <c r="AP78" s="228"/>
      <c r="AQ78" s="228"/>
      <c r="AR78" s="227"/>
      <c r="AS78" s="227"/>
      <c r="AT78" s="228"/>
      <c r="AU78" s="228"/>
      <c r="AV78" s="227"/>
      <c r="AW78" s="284"/>
      <c r="AX78" s="225">
        <f t="shared" si="8"/>
        <v>0</v>
      </c>
      <c r="AY78" s="215"/>
      <c r="AZ78" s="215">
        <v>849858</v>
      </c>
      <c r="BA78" s="215"/>
      <c r="BB78" s="9">
        <f t="shared" si="7"/>
        <v>849858</v>
      </c>
      <c r="BJ78" s="142"/>
      <c r="BK78" s="142"/>
      <c r="BN78" s="8"/>
    </row>
    <row r="79" spans="1:69" s="13" customFormat="1" x14ac:dyDescent="0.25">
      <c r="A79" s="329" t="s">
        <v>107</v>
      </c>
      <c r="B79" s="329"/>
      <c r="C79" s="28">
        <f>SUM(C24:C78)</f>
        <v>475319</v>
      </c>
      <c r="D79" s="28">
        <f>SUM(D24:D78)</f>
        <v>324416</v>
      </c>
      <c r="E79" s="28">
        <f>SUM(E24:E78)</f>
        <v>39800</v>
      </c>
      <c r="F79" s="28">
        <f t="shared" ref="F79:AZ79" si="9">SUM(F24:F78)</f>
        <v>512895</v>
      </c>
      <c r="G79" s="28">
        <f t="shared" si="9"/>
        <v>338350</v>
      </c>
      <c r="H79" s="28">
        <f t="shared" si="9"/>
        <v>483859</v>
      </c>
      <c r="I79" s="28">
        <f t="shared" si="9"/>
        <v>64066</v>
      </c>
      <c r="J79" s="28">
        <f t="shared" si="9"/>
        <v>81880</v>
      </c>
      <c r="K79" s="28">
        <f t="shared" si="9"/>
        <v>307896</v>
      </c>
      <c r="L79" s="28">
        <f t="shared" si="9"/>
        <v>2628481</v>
      </c>
      <c r="M79" s="260"/>
      <c r="N79" s="28">
        <f>SUM(N24:N78)</f>
        <v>481735</v>
      </c>
      <c r="O79" s="28">
        <f>SUM(O24:O78)</f>
        <v>30786</v>
      </c>
      <c r="P79" s="28">
        <f>SUM(P24:P78)</f>
        <v>62411</v>
      </c>
      <c r="Q79" s="28">
        <f>SUM(Q24:Q78)</f>
        <v>3383</v>
      </c>
      <c r="R79" s="28">
        <f t="shared" si="9"/>
        <v>121310</v>
      </c>
      <c r="S79" s="28">
        <f t="shared" si="9"/>
        <v>2687</v>
      </c>
      <c r="T79" s="28">
        <f t="shared" si="9"/>
        <v>156689</v>
      </c>
      <c r="U79" s="28">
        <f t="shared" si="9"/>
        <v>938</v>
      </c>
      <c r="V79" s="28">
        <f t="shared" si="9"/>
        <v>245705</v>
      </c>
      <c r="W79" s="28"/>
      <c r="X79" s="28">
        <f>SUM(X24:X78)</f>
        <v>2382589</v>
      </c>
      <c r="Y79" s="28">
        <f>SUM(Y24:Y78)</f>
        <v>152744</v>
      </c>
      <c r="Z79" s="28">
        <f>SUM(Z24:Z78)</f>
        <v>31700</v>
      </c>
      <c r="AA79" s="28">
        <f t="shared" si="9"/>
        <v>78280</v>
      </c>
      <c r="AB79" s="28">
        <f t="shared" si="9"/>
        <v>556221</v>
      </c>
      <c r="AC79" s="28">
        <f t="shared" si="9"/>
        <v>36473</v>
      </c>
      <c r="AD79" s="28">
        <f t="shared" si="9"/>
        <v>42718</v>
      </c>
      <c r="AE79" s="28">
        <f t="shared" si="9"/>
        <v>4009</v>
      </c>
      <c r="AF79" s="28">
        <f t="shared" si="9"/>
        <v>244081</v>
      </c>
      <c r="AG79" s="28">
        <f t="shared" si="9"/>
        <v>19177</v>
      </c>
      <c r="AH79" s="28">
        <f t="shared" si="9"/>
        <v>127500</v>
      </c>
      <c r="AI79" s="28">
        <f t="shared" si="9"/>
        <v>0</v>
      </c>
      <c r="AJ79" s="28">
        <f t="shared" si="9"/>
        <v>72986</v>
      </c>
      <c r="AK79" s="28">
        <f t="shared" si="9"/>
        <v>7280</v>
      </c>
      <c r="AL79" s="28">
        <f t="shared" si="9"/>
        <v>29839</v>
      </c>
      <c r="AM79" s="28">
        <f t="shared" si="9"/>
        <v>993</v>
      </c>
      <c r="AN79" s="28">
        <f t="shared" si="9"/>
        <v>49586</v>
      </c>
      <c r="AO79" s="28">
        <f t="shared" si="9"/>
        <v>9669</v>
      </c>
      <c r="AP79" s="28">
        <f t="shared" si="9"/>
        <v>290467</v>
      </c>
      <c r="AQ79" s="28">
        <f t="shared" si="9"/>
        <v>2673</v>
      </c>
      <c r="AR79" s="28">
        <f t="shared" si="9"/>
        <v>94264</v>
      </c>
      <c r="AS79" s="28">
        <f t="shared" si="9"/>
        <v>10080</v>
      </c>
      <c r="AT79" s="28">
        <f t="shared" si="9"/>
        <v>28592</v>
      </c>
      <c r="AU79" s="28">
        <f t="shared" si="9"/>
        <v>9120</v>
      </c>
      <c r="AV79" s="28">
        <f t="shared" si="9"/>
        <v>1268642</v>
      </c>
      <c r="AW79" s="28">
        <f t="shared" si="9"/>
        <v>30864</v>
      </c>
      <c r="AX79" s="263">
        <f t="shared" si="9"/>
        <v>6686191</v>
      </c>
      <c r="AY79" s="260"/>
      <c r="AZ79" s="28">
        <f t="shared" si="9"/>
        <v>21917464</v>
      </c>
      <c r="BA79" s="260"/>
      <c r="BB79" s="28">
        <f t="shared" si="7"/>
        <v>31232136</v>
      </c>
      <c r="BC79" s="28"/>
      <c r="BD79" s="5"/>
      <c r="BE79" s="5"/>
      <c r="BF79" s="5"/>
      <c r="BG79" s="5"/>
      <c r="BH79" s="5"/>
      <c r="BI79" s="5"/>
      <c r="BJ79" s="142"/>
      <c r="BK79" s="142"/>
      <c r="BL79" s="5"/>
      <c r="BM79" s="5"/>
      <c r="BN79" s="8"/>
      <c r="BO79" s="5"/>
      <c r="BP79" s="5"/>
      <c r="BQ79" s="5"/>
    </row>
    <row r="80" spans="1:69" s="38" customFormat="1" x14ac:dyDescent="0.25">
      <c r="A80" s="40"/>
      <c r="B80" s="40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59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89"/>
      <c r="AY80" s="259"/>
      <c r="AZ80" s="26"/>
      <c r="BA80" s="259"/>
      <c r="BB80" s="26"/>
      <c r="BC80" s="26"/>
      <c r="BD80" s="5"/>
      <c r="BE80" s="5"/>
      <c r="BF80" s="5"/>
      <c r="BG80" s="5"/>
      <c r="BH80" s="5"/>
      <c r="BI80" s="5"/>
      <c r="BJ80" s="142"/>
      <c r="BK80" s="142"/>
      <c r="BL80" s="5"/>
      <c r="BM80" s="5"/>
      <c r="BN80" s="8"/>
      <c r="BO80" s="5"/>
      <c r="BQ80" s="5"/>
    </row>
    <row r="81" spans="1:69" s="13" customFormat="1" x14ac:dyDescent="0.25">
      <c r="A81" s="41"/>
      <c r="B81" s="41" t="s">
        <v>343</v>
      </c>
      <c r="C81" s="11">
        <f t="shared" ref="C81:BB81" si="10">C79+C22</f>
        <v>846775</v>
      </c>
      <c r="D81" s="11">
        <f t="shared" si="10"/>
        <v>452819</v>
      </c>
      <c r="E81" s="11">
        <f t="shared" si="10"/>
        <v>39800</v>
      </c>
      <c r="F81" s="11">
        <f t="shared" si="10"/>
        <v>1741010</v>
      </c>
      <c r="G81" s="11">
        <f t="shared" si="10"/>
        <v>1137332</v>
      </c>
      <c r="H81" s="11">
        <f t="shared" si="10"/>
        <v>1140919</v>
      </c>
      <c r="I81" s="11">
        <f t="shared" si="10"/>
        <v>257383</v>
      </c>
      <c r="J81" s="11">
        <f t="shared" si="10"/>
        <v>212426</v>
      </c>
      <c r="K81" s="11">
        <f t="shared" si="10"/>
        <v>591944</v>
      </c>
      <c r="L81" s="11">
        <f t="shared" si="10"/>
        <v>6420408</v>
      </c>
      <c r="M81" s="237"/>
      <c r="N81" s="11">
        <f>N79+N22</f>
        <v>481735</v>
      </c>
      <c r="O81" s="11">
        <f>O79+O22</f>
        <v>1425566</v>
      </c>
      <c r="P81" s="11">
        <f>P79+P22</f>
        <v>62411</v>
      </c>
      <c r="Q81" s="11">
        <f>Q79+Q22</f>
        <v>156603</v>
      </c>
      <c r="R81" s="11">
        <f t="shared" si="10"/>
        <v>121310</v>
      </c>
      <c r="S81" s="11">
        <f t="shared" si="10"/>
        <v>85299</v>
      </c>
      <c r="T81" s="11">
        <f t="shared" si="10"/>
        <v>156689</v>
      </c>
      <c r="U81" s="11">
        <f t="shared" si="10"/>
        <v>43856</v>
      </c>
      <c r="V81" s="11">
        <f t="shared" si="10"/>
        <v>245705</v>
      </c>
      <c r="W81" s="11"/>
      <c r="X81" s="11">
        <f>X79+X22</f>
        <v>2382589</v>
      </c>
      <c r="Y81" s="11">
        <f>Y79+Y22</f>
        <v>674208</v>
      </c>
      <c r="Z81" s="11">
        <f>Z79+Z22</f>
        <v>722588</v>
      </c>
      <c r="AA81" s="11">
        <f t="shared" si="10"/>
        <v>78280</v>
      </c>
      <c r="AB81" s="11">
        <f t="shared" si="10"/>
        <v>556221</v>
      </c>
      <c r="AC81" s="11">
        <f t="shared" si="10"/>
        <v>1837279</v>
      </c>
      <c r="AD81" s="11">
        <f t="shared" si="10"/>
        <v>42718</v>
      </c>
      <c r="AE81" s="11">
        <f t="shared" si="10"/>
        <v>185605</v>
      </c>
      <c r="AF81" s="11">
        <f t="shared" si="10"/>
        <v>244081</v>
      </c>
      <c r="AG81" s="11">
        <f t="shared" si="10"/>
        <v>902610</v>
      </c>
      <c r="AH81" s="11">
        <f t="shared" si="10"/>
        <v>127500</v>
      </c>
      <c r="AI81" s="11">
        <f t="shared" si="10"/>
        <v>0</v>
      </c>
      <c r="AJ81" s="11">
        <f t="shared" si="10"/>
        <v>72986</v>
      </c>
      <c r="AK81" s="11">
        <f t="shared" si="10"/>
        <v>337066</v>
      </c>
      <c r="AL81" s="11">
        <f t="shared" si="10"/>
        <v>29839</v>
      </c>
      <c r="AM81" s="11">
        <f t="shared" si="10"/>
        <v>45974</v>
      </c>
      <c r="AN81" s="11">
        <f t="shared" si="10"/>
        <v>49586</v>
      </c>
      <c r="AO81" s="11">
        <f t="shared" si="10"/>
        <v>447667</v>
      </c>
      <c r="AP81" s="11">
        <f t="shared" si="10"/>
        <v>290467</v>
      </c>
      <c r="AQ81" s="11">
        <f t="shared" si="10"/>
        <v>123702</v>
      </c>
      <c r="AR81" s="11">
        <f t="shared" si="10"/>
        <v>94264</v>
      </c>
      <c r="AS81" s="11">
        <f t="shared" si="10"/>
        <v>553491</v>
      </c>
      <c r="AT81" s="11">
        <f t="shared" si="10"/>
        <v>28592</v>
      </c>
      <c r="AU81" s="11">
        <f t="shared" si="10"/>
        <v>781095</v>
      </c>
      <c r="AV81" s="11">
        <f t="shared" si="10"/>
        <v>1268642</v>
      </c>
      <c r="AW81" s="11">
        <f t="shared" si="10"/>
        <v>1181679</v>
      </c>
      <c r="AX81" s="11">
        <f t="shared" si="10"/>
        <v>15837903</v>
      </c>
      <c r="AY81" s="237"/>
      <c r="AZ81" s="11">
        <f t="shared" si="10"/>
        <v>22430840</v>
      </c>
      <c r="BA81" s="237"/>
      <c r="BB81" s="11">
        <f t="shared" si="10"/>
        <v>44689151</v>
      </c>
      <c r="BC81" s="11"/>
      <c r="BD81" s="5"/>
      <c r="BE81" s="5"/>
      <c r="BF81" s="5"/>
      <c r="BG81" s="5"/>
      <c r="BH81" s="5"/>
      <c r="BI81" s="5"/>
      <c r="BJ81" s="142"/>
      <c r="BK81" s="142"/>
      <c r="BL81" s="5"/>
      <c r="BM81" s="5"/>
      <c r="BN81" s="8"/>
      <c r="BO81" s="5"/>
      <c r="BQ81" s="5"/>
    </row>
    <row r="82" spans="1:69" s="13" customFormat="1" x14ac:dyDescent="0.25">
      <c r="A82" s="42"/>
      <c r="B82" s="42" t="s">
        <v>344</v>
      </c>
      <c r="C82" s="70">
        <f>C81-SUM(C71:C78)</f>
        <v>846775</v>
      </c>
      <c r="D82" s="70">
        <f>D81-SUM(D71:D78)</f>
        <v>353283</v>
      </c>
      <c r="E82" s="70">
        <f t="shared" ref="E82:BB82" si="11">E81-SUM(E71:E78)</f>
        <v>39800</v>
      </c>
      <c r="F82" s="70">
        <f t="shared" si="11"/>
        <v>1741010</v>
      </c>
      <c r="G82" s="70">
        <f t="shared" si="11"/>
        <v>1137332</v>
      </c>
      <c r="H82" s="70">
        <f t="shared" si="11"/>
        <v>1140919</v>
      </c>
      <c r="I82" s="70">
        <f t="shared" si="11"/>
        <v>257383</v>
      </c>
      <c r="J82" s="70">
        <f t="shared" si="11"/>
        <v>212426</v>
      </c>
      <c r="K82" s="70">
        <f t="shared" si="11"/>
        <v>591944</v>
      </c>
      <c r="L82" s="70">
        <f t="shared" si="11"/>
        <v>6320872</v>
      </c>
      <c r="M82" s="237"/>
      <c r="N82" s="70">
        <f t="shared" si="11"/>
        <v>481735</v>
      </c>
      <c r="O82" s="70">
        <f t="shared" si="11"/>
        <v>1425566</v>
      </c>
      <c r="P82" s="70">
        <f t="shared" si="11"/>
        <v>62411</v>
      </c>
      <c r="Q82" s="70">
        <f t="shared" si="11"/>
        <v>156603</v>
      </c>
      <c r="R82" s="70">
        <f t="shared" si="11"/>
        <v>121310</v>
      </c>
      <c r="S82" s="70">
        <f t="shared" si="11"/>
        <v>85299</v>
      </c>
      <c r="T82" s="70">
        <f t="shared" si="11"/>
        <v>156689</v>
      </c>
      <c r="U82" s="70">
        <f t="shared" si="11"/>
        <v>43856</v>
      </c>
      <c r="V82" s="70">
        <f t="shared" si="11"/>
        <v>245705</v>
      </c>
      <c r="W82" s="70"/>
      <c r="X82" s="70">
        <f t="shared" si="11"/>
        <v>728056</v>
      </c>
      <c r="Y82" s="70">
        <f t="shared" si="11"/>
        <v>674208</v>
      </c>
      <c r="Z82" s="70">
        <f t="shared" si="11"/>
        <v>722588</v>
      </c>
      <c r="AA82" s="70">
        <f t="shared" si="11"/>
        <v>78280</v>
      </c>
      <c r="AB82" s="70">
        <f t="shared" si="11"/>
        <v>556221</v>
      </c>
      <c r="AC82" s="70">
        <f t="shared" si="11"/>
        <v>1837279</v>
      </c>
      <c r="AD82" s="70">
        <f t="shared" si="11"/>
        <v>42718</v>
      </c>
      <c r="AE82" s="70">
        <f t="shared" si="11"/>
        <v>185605</v>
      </c>
      <c r="AF82" s="70">
        <f t="shared" si="11"/>
        <v>244081</v>
      </c>
      <c r="AG82" s="70">
        <f t="shared" si="11"/>
        <v>902610</v>
      </c>
      <c r="AH82" s="70">
        <f t="shared" si="11"/>
        <v>127500</v>
      </c>
      <c r="AI82" s="70">
        <f t="shared" si="11"/>
        <v>0</v>
      </c>
      <c r="AJ82" s="70">
        <f t="shared" si="11"/>
        <v>72986</v>
      </c>
      <c r="AK82" s="70">
        <f t="shared" si="11"/>
        <v>337066</v>
      </c>
      <c r="AL82" s="70">
        <f t="shared" si="11"/>
        <v>29839</v>
      </c>
      <c r="AM82" s="70">
        <f t="shared" si="11"/>
        <v>45974</v>
      </c>
      <c r="AN82" s="70">
        <f t="shared" si="11"/>
        <v>49586</v>
      </c>
      <c r="AO82" s="70">
        <f t="shared" si="11"/>
        <v>447667</v>
      </c>
      <c r="AP82" s="70">
        <f t="shared" si="11"/>
        <v>290467</v>
      </c>
      <c r="AQ82" s="70">
        <f t="shared" si="11"/>
        <v>123702</v>
      </c>
      <c r="AR82" s="70">
        <f t="shared" si="11"/>
        <v>94264</v>
      </c>
      <c r="AS82" s="70">
        <f t="shared" si="11"/>
        <v>553491</v>
      </c>
      <c r="AT82" s="70">
        <f t="shared" si="11"/>
        <v>28592</v>
      </c>
      <c r="AU82" s="70">
        <f t="shared" si="11"/>
        <v>781095</v>
      </c>
      <c r="AV82" s="70">
        <f t="shared" si="11"/>
        <v>1268642</v>
      </c>
      <c r="AW82" s="70">
        <f t="shared" si="11"/>
        <v>1181679</v>
      </c>
      <c r="AX82" s="70">
        <f t="shared" si="11"/>
        <v>14183370</v>
      </c>
      <c r="AY82" s="237"/>
      <c r="AZ82" s="70">
        <f t="shared" si="11"/>
        <v>13572857</v>
      </c>
      <c r="BA82" s="237"/>
      <c r="BB82" s="70">
        <f t="shared" si="11"/>
        <v>34077099</v>
      </c>
      <c r="BC82" s="70"/>
      <c r="BD82" s="5"/>
      <c r="BE82" s="5"/>
      <c r="BF82" s="5"/>
      <c r="BG82" s="5"/>
      <c r="BH82" s="5"/>
      <c r="BI82" s="5"/>
      <c r="BJ82" s="142"/>
      <c r="BK82" s="142"/>
      <c r="BL82" s="5"/>
      <c r="BM82" s="5"/>
      <c r="BN82" s="8"/>
      <c r="BO82" s="5"/>
      <c r="BQ82" s="5"/>
    </row>
    <row r="83" spans="1:69" x14ac:dyDescent="0.25">
      <c r="A83" s="1" t="s">
        <v>108</v>
      </c>
      <c r="B83" s="14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1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290"/>
      <c r="AO83" s="290"/>
      <c r="AP83" s="290"/>
      <c r="AQ83" s="290"/>
      <c r="AR83" s="290"/>
      <c r="AS83" s="290"/>
      <c r="AT83" s="290"/>
      <c r="AU83" s="290"/>
      <c r="AV83" s="290"/>
      <c r="AW83" s="290"/>
      <c r="AX83" s="292"/>
      <c r="AY83" s="291"/>
      <c r="AZ83" s="290"/>
      <c r="BA83" s="291"/>
      <c r="BB83" s="290"/>
      <c r="BC83" s="290"/>
      <c r="BD83" s="8"/>
      <c r="BJ83" s="142"/>
      <c r="BK83" s="142"/>
      <c r="BN83" s="8"/>
      <c r="BO83" s="38"/>
    </row>
    <row r="84" spans="1:69" x14ac:dyDescent="0.25">
      <c r="A84" s="142">
        <v>40210</v>
      </c>
      <c r="B84" s="142" t="s">
        <v>345</v>
      </c>
      <c r="C84" s="7"/>
      <c r="D84" s="7"/>
      <c r="E84" s="7"/>
      <c r="F84" s="7">
        <v>400000</v>
      </c>
      <c r="G84" s="7"/>
      <c r="H84" s="7"/>
      <c r="I84" s="7"/>
      <c r="J84" s="7"/>
      <c r="K84" s="7"/>
      <c r="L84" s="217">
        <f t="shared" ref="L84:L93" si="12">SUM(C84:K84)</f>
        <v>400000</v>
      </c>
      <c r="M84" s="215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36">
        <f t="shared" ref="AX84:AX93" si="13">SUM(N84:AV84)</f>
        <v>0</v>
      </c>
      <c r="AY84" s="215"/>
      <c r="AZ84" s="7"/>
      <c r="BA84" s="215"/>
      <c r="BB84" s="8">
        <f t="shared" ref="BB84:BB93" si="14">L84+AX84+AZ84</f>
        <v>400000</v>
      </c>
      <c r="BE84" s="293"/>
      <c r="BF84" s="18"/>
      <c r="BG84" s="18"/>
      <c r="BJ84" s="142"/>
      <c r="BK84" s="142"/>
      <c r="BN84" s="8"/>
      <c r="BO84" s="38"/>
    </row>
    <row r="85" spans="1:69" x14ac:dyDescent="0.25">
      <c r="A85" s="142">
        <v>40225</v>
      </c>
      <c r="B85" s="142" t="s">
        <v>110</v>
      </c>
      <c r="C85" s="7"/>
      <c r="D85" s="7"/>
      <c r="E85" s="7"/>
      <c r="F85" s="7"/>
      <c r="G85" s="7"/>
      <c r="H85" s="7"/>
      <c r="I85" s="7"/>
      <c r="J85" s="7"/>
      <c r="K85" s="7"/>
      <c r="L85" s="217">
        <f t="shared" si="12"/>
        <v>0</v>
      </c>
      <c r="M85" s="21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36">
        <f t="shared" si="13"/>
        <v>0</v>
      </c>
      <c r="AY85" s="215"/>
      <c r="AZ85" s="7">
        <v>1000</v>
      </c>
      <c r="BA85" s="215"/>
      <c r="BB85" s="8">
        <f t="shared" si="14"/>
        <v>1000</v>
      </c>
      <c r="BD85" s="142"/>
      <c r="BE85" s="215"/>
      <c r="BF85" s="215"/>
      <c r="BG85" s="215"/>
      <c r="BJ85" s="142"/>
      <c r="BK85" s="142"/>
      <c r="BN85" s="8"/>
    </row>
    <row r="86" spans="1:69" x14ac:dyDescent="0.25">
      <c r="A86" s="142">
        <v>40230</v>
      </c>
      <c r="B86" s="142" t="s">
        <v>346</v>
      </c>
      <c r="C86" s="7"/>
      <c r="D86" s="7"/>
      <c r="E86" s="7"/>
      <c r="F86" s="7"/>
      <c r="G86" s="7"/>
      <c r="H86" s="7"/>
      <c r="I86" s="7"/>
      <c r="J86" s="7"/>
      <c r="K86" s="7"/>
      <c r="L86" s="217">
        <f t="shared" si="12"/>
        <v>0</v>
      </c>
      <c r="M86" s="215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36">
        <f t="shared" si="13"/>
        <v>0</v>
      </c>
      <c r="AY86" s="215"/>
      <c r="AZ86" s="7"/>
      <c r="BA86" s="215"/>
      <c r="BB86" s="8">
        <f t="shared" si="14"/>
        <v>0</v>
      </c>
      <c r="BD86" s="142"/>
      <c r="BE86" s="272"/>
      <c r="BF86" s="272"/>
      <c r="BG86" s="215"/>
      <c r="BJ86" s="142"/>
      <c r="BK86" s="142"/>
      <c r="BN86" s="8"/>
    </row>
    <row r="87" spans="1:69" x14ac:dyDescent="0.25">
      <c r="A87" s="142">
        <v>40235</v>
      </c>
      <c r="B87" s="142" t="s">
        <v>112</v>
      </c>
      <c r="C87" s="7"/>
      <c r="D87" s="7"/>
      <c r="E87" s="7"/>
      <c r="F87" s="7"/>
      <c r="G87" s="7">
        <v>51000</v>
      </c>
      <c r="H87" s="7"/>
      <c r="I87" s="7"/>
      <c r="J87" s="7"/>
      <c r="K87" s="7"/>
      <c r="L87" s="217">
        <f t="shared" si="12"/>
        <v>51000</v>
      </c>
      <c r="M87" s="215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36">
        <f t="shared" si="13"/>
        <v>0</v>
      </c>
      <c r="AY87" s="215"/>
      <c r="AZ87" s="7"/>
      <c r="BA87" s="215"/>
      <c r="BB87" s="8">
        <f t="shared" si="14"/>
        <v>51000</v>
      </c>
      <c r="BD87" s="142"/>
      <c r="BE87" s="272"/>
      <c r="BF87" s="272"/>
      <c r="BG87" s="215"/>
      <c r="BJ87" s="142"/>
      <c r="BK87" s="142"/>
      <c r="BN87" s="8"/>
    </row>
    <row r="88" spans="1:69" x14ac:dyDescent="0.25">
      <c r="A88" s="142">
        <v>40241</v>
      </c>
      <c r="B88" s="142" t="s">
        <v>113</v>
      </c>
      <c r="C88" s="7"/>
      <c r="D88" s="7"/>
      <c r="E88" s="7"/>
      <c r="F88" s="7"/>
      <c r="G88" s="7"/>
      <c r="H88" s="7"/>
      <c r="I88" s="7"/>
      <c r="J88" s="7"/>
      <c r="K88" s="7"/>
      <c r="L88" s="217">
        <f t="shared" si="12"/>
        <v>0</v>
      </c>
      <c r="M88" s="215"/>
      <c r="N88" s="7"/>
      <c r="O88" s="7"/>
      <c r="P88" s="7"/>
      <c r="Q88" s="7"/>
      <c r="R88" s="217"/>
      <c r="S88" s="217"/>
      <c r="T88" s="217"/>
      <c r="U88" s="217"/>
      <c r="V88" s="217"/>
      <c r="W88" s="21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36">
        <f t="shared" si="13"/>
        <v>0</v>
      </c>
      <c r="AY88" s="215"/>
      <c r="AZ88" s="7"/>
      <c r="BA88" s="215"/>
      <c r="BB88" s="8">
        <f t="shared" si="14"/>
        <v>0</v>
      </c>
      <c r="BD88" s="142"/>
      <c r="BE88" s="272"/>
      <c r="BF88" s="272"/>
      <c r="BG88" s="272"/>
      <c r="BN88" s="8"/>
    </row>
    <row r="89" spans="1:69" x14ac:dyDescent="0.25">
      <c r="A89" s="142">
        <v>40243</v>
      </c>
      <c r="B89" s="142" t="s">
        <v>114</v>
      </c>
      <c r="C89" s="7"/>
      <c r="D89" s="7"/>
      <c r="E89" s="7"/>
      <c r="F89" s="7">
        <v>555240</v>
      </c>
      <c r="G89" s="7"/>
      <c r="H89" s="7"/>
      <c r="I89" s="7"/>
      <c r="J89" s="7"/>
      <c r="K89" s="7"/>
      <c r="L89" s="217">
        <f t="shared" si="12"/>
        <v>555240</v>
      </c>
      <c r="M89" s="215"/>
      <c r="N89" s="7"/>
      <c r="O89" s="7"/>
      <c r="P89" s="7"/>
      <c r="Q89" s="7"/>
      <c r="R89" s="217"/>
      <c r="S89" s="217"/>
      <c r="T89" s="217"/>
      <c r="U89" s="217"/>
      <c r="V89" s="217"/>
      <c r="W89" s="21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36">
        <f t="shared" si="13"/>
        <v>0</v>
      </c>
      <c r="AY89" s="215"/>
      <c r="AZ89" s="7"/>
      <c r="BA89" s="215"/>
      <c r="BB89" s="8">
        <f t="shared" si="14"/>
        <v>555240</v>
      </c>
      <c r="BE89" s="35"/>
      <c r="BF89" s="272"/>
      <c r="BN89" s="8"/>
    </row>
    <row r="90" spans="1:69" x14ac:dyDescent="0.25">
      <c r="A90" s="142">
        <v>40244</v>
      </c>
      <c r="B90" s="142" t="s">
        <v>115</v>
      </c>
      <c r="C90" s="7"/>
      <c r="D90" s="7"/>
      <c r="E90" s="7"/>
      <c r="F90" s="7"/>
      <c r="G90" s="7"/>
      <c r="H90" s="7"/>
      <c r="I90" s="7"/>
      <c r="J90" s="7"/>
      <c r="K90" s="7"/>
      <c r="L90" s="217">
        <f t="shared" si="12"/>
        <v>0</v>
      </c>
      <c r="M90" s="215"/>
      <c r="N90" s="7"/>
      <c r="O90" s="7"/>
      <c r="P90" s="7"/>
      <c r="Q90" s="7"/>
      <c r="R90" s="217"/>
      <c r="S90" s="217"/>
      <c r="T90" s="217"/>
      <c r="U90" s="217"/>
      <c r="V90" s="217"/>
      <c r="W90" s="21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36">
        <f t="shared" si="13"/>
        <v>0</v>
      </c>
      <c r="AY90" s="215"/>
      <c r="AZ90" s="7"/>
      <c r="BA90" s="215"/>
      <c r="BB90" s="8">
        <f t="shared" si="14"/>
        <v>0</v>
      </c>
      <c r="BF90" s="8"/>
      <c r="BN90" s="8"/>
    </row>
    <row r="91" spans="1:69" x14ac:dyDescent="0.25">
      <c r="A91" s="142">
        <v>40245</v>
      </c>
      <c r="B91" s="142" t="s">
        <v>116</v>
      </c>
      <c r="C91" s="7"/>
      <c r="D91" s="7"/>
      <c r="E91" s="7"/>
      <c r="F91" s="7">
        <v>354240</v>
      </c>
      <c r="G91" s="7"/>
      <c r="H91" s="7"/>
      <c r="I91" s="7"/>
      <c r="J91" s="7"/>
      <c r="K91" s="7"/>
      <c r="L91" s="217">
        <f t="shared" si="12"/>
        <v>354240</v>
      </c>
      <c r="M91" s="215"/>
      <c r="N91" s="7"/>
      <c r="O91" s="7"/>
      <c r="P91" s="7"/>
      <c r="Q91" s="7"/>
      <c r="R91" s="217"/>
      <c r="S91" s="217"/>
      <c r="T91" s="217"/>
      <c r="U91" s="217"/>
      <c r="V91" s="217"/>
      <c r="W91" s="21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36">
        <f t="shared" si="13"/>
        <v>0</v>
      </c>
      <c r="AY91" s="215"/>
      <c r="AZ91" s="7"/>
      <c r="BA91" s="215"/>
      <c r="BB91" s="8">
        <f t="shared" si="14"/>
        <v>354240</v>
      </c>
      <c r="BD91" s="17"/>
      <c r="BN91" s="8"/>
    </row>
    <row r="92" spans="1:69" x14ac:dyDescent="0.25">
      <c r="A92" s="142">
        <v>40246</v>
      </c>
      <c r="B92" s="142" t="s">
        <v>117</v>
      </c>
      <c r="C92" s="7"/>
      <c r="D92" s="7"/>
      <c r="E92" s="7"/>
      <c r="F92" s="7"/>
      <c r="G92" s="7"/>
      <c r="H92" s="7"/>
      <c r="I92" s="7"/>
      <c r="J92" s="7"/>
      <c r="K92" s="7"/>
      <c r="L92" s="217">
        <f t="shared" si="12"/>
        <v>0</v>
      </c>
      <c r="M92" s="215"/>
      <c r="N92" s="7"/>
      <c r="O92" s="7"/>
      <c r="P92" s="7"/>
      <c r="Q92" s="7"/>
      <c r="R92" s="217"/>
      <c r="S92" s="217"/>
      <c r="T92" s="217"/>
      <c r="U92" s="217"/>
      <c r="V92" s="217"/>
      <c r="W92" s="21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36">
        <f t="shared" si="13"/>
        <v>0</v>
      </c>
      <c r="AY92" s="215"/>
      <c r="AZ92" s="7"/>
      <c r="BA92" s="215"/>
      <c r="BB92" s="8">
        <f t="shared" si="14"/>
        <v>0</v>
      </c>
      <c r="BD92" s="17"/>
      <c r="BN92" s="8"/>
    </row>
    <row r="93" spans="1:69" x14ac:dyDescent="0.25">
      <c r="A93" s="142">
        <v>40247</v>
      </c>
      <c r="B93" s="142" t="s">
        <v>118</v>
      </c>
      <c r="C93" s="7"/>
      <c r="D93" s="7"/>
      <c r="E93" s="7"/>
      <c r="F93" s="7"/>
      <c r="G93" s="7"/>
      <c r="H93" s="7"/>
      <c r="I93" s="7"/>
      <c r="J93" s="7"/>
      <c r="K93" s="7"/>
      <c r="L93" s="217">
        <f t="shared" si="12"/>
        <v>0</v>
      </c>
      <c r="M93" s="215"/>
      <c r="N93" s="7"/>
      <c r="O93" s="7"/>
      <c r="P93" s="7"/>
      <c r="Q93" s="7"/>
      <c r="R93" s="217"/>
      <c r="S93" s="217"/>
      <c r="T93" s="217"/>
      <c r="U93" s="217"/>
      <c r="V93" s="217"/>
      <c r="W93" s="21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36">
        <f t="shared" si="13"/>
        <v>0</v>
      </c>
      <c r="AY93" s="215"/>
      <c r="AZ93" s="7"/>
      <c r="BA93" s="215"/>
      <c r="BB93" s="8">
        <f t="shared" si="14"/>
        <v>0</v>
      </c>
      <c r="BD93" s="17"/>
      <c r="BN93" s="8"/>
    </row>
    <row r="94" spans="1:69" x14ac:dyDescent="0.25">
      <c r="B94" s="142"/>
      <c r="C94" s="7"/>
      <c r="D94" s="7"/>
      <c r="E94" s="7"/>
      <c r="F94" s="7"/>
      <c r="G94" s="7"/>
      <c r="H94" s="7"/>
      <c r="I94" s="7"/>
      <c r="J94" s="7"/>
      <c r="K94" s="7"/>
      <c r="L94" s="217"/>
      <c r="M94" s="215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36"/>
      <c r="AY94" s="215"/>
      <c r="AZ94" s="7"/>
      <c r="BA94" s="215"/>
      <c r="BD94" s="17"/>
      <c r="BN94" s="8"/>
    </row>
    <row r="95" spans="1:69" x14ac:dyDescent="0.25">
      <c r="A95" s="142">
        <v>40300</v>
      </c>
      <c r="B95" s="142" t="s">
        <v>347</v>
      </c>
      <c r="C95" s="7"/>
      <c r="D95" s="7"/>
      <c r="E95" s="7"/>
      <c r="F95" s="217">
        <v>29019184</v>
      </c>
      <c r="G95" s="7"/>
      <c r="H95" s="7"/>
      <c r="I95" s="7"/>
      <c r="J95" s="7"/>
      <c r="K95" s="7"/>
      <c r="L95" s="217">
        <f>SUM(C95:K95)</f>
        <v>29019184</v>
      </c>
      <c r="M95" s="21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36">
        <f>SUM(N95:AV95)</f>
        <v>0</v>
      </c>
      <c r="AY95" s="215"/>
      <c r="AZ95" s="7"/>
      <c r="BA95" s="215"/>
      <c r="BB95" s="8">
        <f>L95+AX95+AZ95</f>
        <v>29019184</v>
      </c>
      <c r="BD95" s="17"/>
      <c r="BN95" s="8"/>
    </row>
    <row r="96" spans="1:69" x14ac:dyDescent="0.25">
      <c r="B96" s="142"/>
      <c r="C96" s="7"/>
      <c r="D96" s="7"/>
      <c r="E96" s="7"/>
      <c r="F96" s="7"/>
      <c r="G96" s="7"/>
      <c r="H96" s="7"/>
      <c r="I96" s="7"/>
      <c r="J96" s="7"/>
      <c r="K96" s="7"/>
      <c r="L96" s="217"/>
      <c r="M96" s="215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36"/>
      <c r="AY96" s="215"/>
      <c r="AZ96" s="7"/>
      <c r="BA96" s="215"/>
      <c r="BN96" s="8"/>
      <c r="BQ96" s="38"/>
    </row>
    <row r="97" spans="1:74" x14ac:dyDescent="0.25">
      <c r="A97" s="142">
        <v>40400</v>
      </c>
      <c r="B97" s="142" t="s">
        <v>120</v>
      </c>
      <c r="C97" s="7"/>
      <c r="D97" s="7"/>
      <c r="E97" s="7"/>
      <c r="F97" s="7">
        <v>5253753</v>
      </c>
      <c r="G97" s="7"/>
      <c r="H97" s="7"/>
      <c r="I97" s="7"/>
      <c r="J97" s="7"/>
      <c r="K97" s="7"/>
      <c r="L97" s="217">
        <f>SUM(C97:K97)</f>
        <v>5253753</v>
      </c>
      <c r="M97" s="215"/>
      <c r="N97" s="7"/>
      <c r="O97" s="7"/>
      <c r="P97" s="7"/>
      <c r="Q97" s="7"/>
      <c r="R97" s="217"/>
      <c r="S97" s="217"/>
      <c r="T97" s="217"/>
      <c r="U97" s="217"/>
      <c r="V97" s="217"/>
      <c r="W97" s="21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36">
        <f>SUM(N97:AV97)</f>
        <v>0</v>
      </c>
      <c r="AY97" s="215"/>
      <c r="AZ97" s="7"/>
      <c r="BA97" s="215"/>
      <c r="BB97" s="8">
        <f>L97+AX97+AZ97</f>
        <v>5253753</v>
      </c>
      <c r="BD97" s="44"/>
      <c r="BE97" s="44"/>
      <c r="BF97" s="44"/>
      <c r="BG97" s="44"/>
      <c r="BH97" s="44"/>
      <c r="BN97" s="8"/>
    </row>
    <row r="98" spans="1:74" x14ac:dyDescent="0.25">
      <c r="A98" s="142">
        <v>40410</v>
      </c>
      <c r="B98" s="142" t="s">
        <v>121</v>
      </c>
      <c r="C98" s="7"/>
      <c r="D98" s="7"/>
      <c r="E98" s="7"/>
      <c r="F98" s="8">
        <v>4973021</v>
      </c>
      <c r="G98" s="7"/>
      <c r="H98" s="7"/>
      <c r="I98" s="7"/>
      <c r="J98" s="7"/>
      <c r="K98" s="7"/>
      <c r="L98" s="217">
        <f>SUM(C98:K98)</f>
        <v>4973021</v>
      </c>
      <c r="M98" s="215"/>
      <c r="N98" s="7"/>
      <c r="O98" s="7"/>
      <c r="P98" s="7"/>
      <c r="Q98" s="7"/>
      <c r="R98" s="217"/>
      <c r="S98" s="217"/>
      <c r="T98" s="217"/>
      <c r="U98" s="217"/>
      <c r="V98" s="217"/>
      <c r="W98" s="21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36">
        <f>SUM(N98:AV98)</f>
        <v>0</v>
      </c>
      <c r="AY98" s="215"/>
      <c r="AZ98" s="7"/>
      <c r="BA98" s="215"/>
      <c r="BB98" s="8">
        <f>L98+AX98+AZ98</f>
        <v>4973021</v>
      </c>
      <c r="BF98" s="13"/>
      <c r="BG98" s="13"/>
      <c r="BH98" s="13"/>
      <c r="BN98" s="8"/>
    </row>
    <row r="99" spans="1:74" x14ac:dyDescent="0.25">
      <c r="A99" s="142">
        <v>40413</v>
      </c>
      <c r="B99" s="142" t="s">
        <v>122</v>
      </c>
      <c r="C99" s="7"/>
      <c r="D99" s="7"/>
      <c r="E99" s="7"/>
      <c r="F99" s="7"/>
      <c r="G99" s="7"/>
      <c r="H99" s="7"/>
      <c r="I99" s="7"/>
      <c r="J99" s="7"/>
      <c r="K99" s="7"/>
      <c r="L99" s="217">
        <f>SUM(C99:K99)</f>
        <v>0</v>
      </c>
      <c r="M99" s="215"/>
      <c r="N99" s="7"/>
      <c r="O99" s="7"/>
      <c r="P99" s="7"/>
      <c r="Q99" s="7"/>
      <c r="R99" s="217"/>
      <c r="S99" s="217"/>
      <c r="T99" s="217"/>
      <c r="U99" s="217"/>
      <c r="V99" s="217"/>
      <c r="W99" s="21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36">
        <f>SUM(N99:AV99)</f>
        <v>0</v>
      </c>
      <c r="AY99" s="215"/>
      <c r="AZ99" s="7"/>
      <c r="BA99" s="215"/>
      <c r="BB99" s="8">
        <f>L99+AX99+AZ99</f>
        <v>0</v>
      </c>
      <c r="BN99" s="8"/>
    </row>
    <row r="100" spans="1:74" x14ac:dyDescent="0.25">
      <c r="A100" s="39">
        <v>40414</v>
      </c>
      <c r="B100" s="39" t="s">
        <v>123</v>
      </c>
      <c r="C100" s="226"/>
      <c r="D100" s="226"/>
      <c r="E100" s="226"/>
      <c r="F100" s="226">
        <v>780389</v>
      </c>
      <c r="G100" s="226"/>
      <c r="H100" s="226"/>
      <c r="I100" s="226"/>
      <c r="J100" s="226"/>
      <c r="K100" s="226"/>
      <c r="L100" s="228">
        <f>SUM(C100:K100)</f>
        <v>780389</v>
      </c>
      <c r="M100" s="215"/>
      <c r="N100" s="226"/>
      <c r="O100" s="226"/>
      <c r="P100" s="226"/>
      <c r="Q100" s="226"/>
      <c r="R100" s="228"/>
      <c r="S100" s="228"/>
      <c r="T100" s="228"/>
      <c r="U100" s="228"/>
      <c r="V100" s="228"/>
      <c r="W100" s="228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  <c r="AV100" s="226"/>
      <c r="AW100" s="226"/>
      <c r="AX100" s="294">
        <f>SUM(N100:AV100)</f>
        <v>0</v>
      </c>
      <c r="AY100" s="215"/>
      <c r="AZ100" s="226"/>
      <c r="BA100" s="215"/>
      <c r="BB100" s="9">
        <f>L100+AX100+AZ100</f>
        <v>780389</v>
      </c>
      <c r="BE100" s="38"/>
      <c r="BN100" s="8"/>
    </row>
    <row r="101" spans="1:74" s="13" customFormat="1" x14ac:dyDescent="0.25">
      <c r="A101" s="10"/>
      <c r="B101" s="45" t="s">
        <v>124</v>
      </c>
      <c r="C101" s="11">
        <f t="shared" ref="C101:J101" si="15">SUM(C84:C100)</f>
        <v>0</v>
      </c>
      <c r="D101" s="11">
        <f t="shared" si="15"/>
        <v>0</v>
      </c>
      <c r="E101" s="11">
        <f t="shared" si="15"/>
        <v>0</v>
      </c>
      <c r="F101" s="11">
        <f>SUM(F84:F87,F95:F100)-F89-F91</f>
        <v>39516867</v>
      </c>
      <c r="G101" s="11">
        <f t="shared" si="15"/>
        <v>51000</v>
      </c>
      <c r="H101" s="11">
        <f t="shared" si="15"/>
        <v>0</v>
      </c>
      <c r="I101" s="11">
        <f t="shared" si="15"/>
        <v>0</v>
      </c>
      <c r="J101" s="11">
        <f t="shared" si="15"/>
        <v>0</v>
      </c>
      <c r="K101" s="11">
        <f>SUM(K84:K100)</f>
        <v>0</v>
      </c>
      <c r="L101" s="11">
        <f>SUM(L84:L87,L95:L100)-L89-L91</f>
        <v>39567867</v>
      </c>
      <c r="M101" s="237"/>
      <c r="N101" s="11">
        <f>SUM(N84:N87,N95:N100)-N89-N91</f>
        <v>0</v>
      </c>
      <c r="O101" s="11"/>
      <c r="P101" s="11">
        <f>SUM(P84:P87,P95:P100)-P89-P91</f>
        <v>0</v>
      </c>
      <c r="Q101" s="11"/>
      <c r="R101" s="11">
        <f>SUM(R84:R87,R95:R100)-R89-R91</f>
        <v>0</v>
      </c>
      <c r="S101" s="11"/>
      <c r="T101" s="11">
        <f>SUM(T84:T87,T95:T100)-T89-T91</f>
        <v>0</v>
      </c>
      <c r="U101" s="11"/>
      <c r="V101" s="11"/>
      <c r="W101" s="11"/>
      <c r="X101" s="11">
        <f>SUM(X84:X87,X95:X100)-X89-X91</f>
        <v>0</v>
      </c>
      <c r="Y101" s="11"/>
      <c r="Z101" s="11">
        <f>SUM(Z84:Z87,Z95:Z100)-Z89-Z91</f>
        <v>0</v>
      </c>
      <c r="AA101" s="11">
        <f>SUM(AA84:AA87,AA95:AA100)-AA89-AA91</f>
        <v>0</v>
      </c>
      <c r="AB101" s="11"/>
      <c r="AC101" s="11"/>
      <c r="AD101" s="11"/>
      <c r="AE101" s="11"/>
      <c r="AF101" s="11"/>
      <c r="AG101" s="11"/>
      <c r="AH101" s="11">
        <f>SUM(AH84:AH87,AH95:AH100)-AH89-AH91</f>
        <v>0</v>
      </c>
      <c r="AI101" s="11"/>
      <c r="AJ101" s="11"/>
      <c r="AK101" s="11"/>
      <c r="AL101" s="11"/>
      <c r="AM101" s="11"/>
      <c r="AN101" s="11"/>
      <c r="AO101" s="11"/>
      <c r="AP101" s="11">
        <f>SUM(AP84:AP87,AP95:AP100)-AP89-AP91</f>
        <v>0</v>
      </c>
      <c r="AQ101" s="11"/>
      <c r="AR101" s="11">
        <f>SUM(AR84:AR87,AR95:AR100)-AR89-AR91</f>
        <v>0</v>
      </c>
      <c r="AS101" s="11"/>
      <c r="AT101" s="11">
        <f>SUM(AT84:AT87,AT95:AT100)-AT89-AT91</f>
        <v>0</v>
      </c>
      <c r="AU101" s="11"/>
      <c r="AV101" s="11">
        <f>SUM(AV84:AV87,AV95:AV100)-AV89-AV91</f>
        <v>0</v>
      </c>
      <c r="AW101" s="11"/>
      <c r="AX101" s="240">
        <f>SUM(AX84:AX87,AX95:AX100)-AX89-AX91</f>
        <v>0</v>
      </c>
      <c r="AY101" s="237"/>
      <c r="AZ101" s="11">
        <f>SUM(AZ84:AZ87,AZ95:AZ100)-AZ89-AZ91</f>
        <v>1000</v>
      </c>
      <c r="BA101" s="237"/>
      <c r="BB101" s="11">
        <f>SUM(BB84:BB87,BB95:BB100)-BB89-BB91</f>
        <v>39568867</v>
      </c>
      <c r="BC101" s="11"/>
      <c r="BD101" s="5"/>
      <c r="BE101" s="38"/>
      <c r="BF101" s="5"/>
      <c r="BG101" s="5"/>
      <c r="BH101" s="5"/>
      <c r="BI101" s="5"/>
      <c r="BJ101" s="5"/>
      <c r="BK101" s="5"/>
      <c r="BL101" s="5"/>
      <c r="BM101" s="5"/>
      <c r="BN101" s="8"/>
      <c r="BO101" s="5"/>
      <c r="BP101" s="5"/>
      <c r="BQ101" s="5"/>
    </row>
    <row r="102" spans="1:74" ht="15" customHeight="1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15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36"/>
      <c r="AY102" s="215"/>
      <c r="AZ102" s="7"/>
      <c r="BA102" s="215"/>
      <c r="BE102" s="295"/>
      <c r="BN102" s="8"/>
      <c r="BP102" s="38"/>
    </row>
    <row r="103" spans="1:7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15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36"/>
      <c r="AY103" s="215"/>
      <c r="AZ103" s="7"/>
      <c r="BA103" s="215"/>
      <c r="BE103" s="295"/>
      <c r="BN103" s="8"/>
    </row>
    <row r="104" spans="1:7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15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36"/>
      <c r="AY104" s="215"/>
      <c r="AZ104" s="296" t="s">
        <v>125</v>
      </c>
      <c r="BA104" s="215"/>
      <c r="BB104" s="8">
        <f>BB5-BB81+BB101</f>
        <v>508197</v>
      </c>
      <c r="BN104" s="8"/>
      <c r="BO104" s="38"/>
    </row>
    <row r="105" spans="1:7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215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36"/>
      <c r="AY105" s="215"/>
      <c r="AZ105" s="296" t="s">
        <v>126</v>
      </c>
      <c r="BA105" s="215"/>
      <c r="BB105" s="8">
        <f>BB5-BB82+BB101</f>
        <v>11120249</v>
      </c>
      <c r="BN105" s="8"/>
    </row>
    <row r="106" spans="1:74" ht="79.2" x14ac:dyDescent="0.25">
      <c r="C106" s="46" t="str">
        <f t="shared" ref="C106:AZ106" si="16">C1</f>
        <v>FY20
100
CEO</v>
      </c>
      <c r="D106" s="46" t="str">
        <f t="shared" si="16"/>
        <v>FY20
105
Administration</v>
      </c>
      <c r="E106" s="46" t="str">
        <f t="shared" si="16"/>
        <v>FY20
110
Board</v>
      </c>
      <c r="F106" s="46" t="str">
        <f t="shared" si="16"/>
        <v>FY20
120
Finance</v>
      </c>
      <c r="G106" s="46" t="str">
        <f t="shared" si="16"/>
        <v>FY20
130
Planning</v>
      </c>
      <c r="H106" s="46" t="str">
        <f t="shared" si="16"/>
        <v>FY20
140
C&amp;M</v>
      </c>
      <c r="I106" s="46" t="str">
        <f t="shared" si="16"/>
        <v>FY20
150
Transit Management</v>
      </c>
      <c r="J106" s="46" t="str">
        <f t="shared" si="16"/>
        <v>FY20
170
Human Resources</v>
      </c>
      <c r="K106" s="46" t="str">
        <f t="shared" si="16"/>
        <v>FY20
180
Information Technology</v>
      </c>
      <c r="L106" s="46" t="str">
        <f t="shared" si="16"/>
        <v>TOTAL
FY20
G&amp;A</v>
      </c>
      <c r="M106" s="297"/>
      <c r="N106" s="46" t="str">
        <f t="shared" si="16"/>
        <v>FY20
200
UNT</v>
      </c>
      <c r="O106" s="46" t="str">
        <f t="shared" si="16"/>
        <v>FY20
701
NTMC UNT</v>
      </c>
      <c r="P106" s="46" t="str">
        <f t="shared" si="16"/>
        <v>FY20
210
NCTC</v>
      </c>
      <c r="Q106" s="46" t="str">
        <f t="shared" si="16"/>
        <v>FY20
702
NTMC NCTC</v>
      </c>
      <c r="R106" s="46" t="str">
        <f t="shared" si="16"/>
        <v>FY20
220
Frisco</v>
      </c>
      <c r="S106" s="46" t="str">
        <f t="shared" si="16"/>
        <v>FY20
703
NTMC Frisco</v>
      </c>
      <c r="T106" s="46" t="str">
        <f t="shared" si="16"/>
        <v>FY20
230
CCT</v>
      </c>
      <c r="U106" s="46" t="str">
        <f t="shared" si="16"/>
        <v>FY20
704
NTMC CCT</v>
      </c>
      <c r="V106" s="46" t="str">
        <f t="shared" si="16"/>
        <v>FY20
240
MaaS</v>
      </c>
      <c r="W106" s="46"/>
      <c r="X106" s="46" t="str">
        <f t="shared" si="16"/>
        <v>FY20
500
Bus Srvc 
Admin</v>
      </c>
      <c r="Y106" s="46" t="str">
        <f t="shared" si="16"/>
        <v>FY20
700
NTMC Bus Srvc 
Admin</v>
      </c>
      <c r="Z106" s="46" t="str">
        <f t="shared" si="16"/>
        <v>FY20
505
Bus Ops 
Mgmt</v>
      </c>
      <c r="AA106" s="46" t="str">
        <f t="shared" si="16"/>
        <v>FY20
510
Fixed 
Route</v>
      </c>
      <c r="AB106" s="46" t="str">
        <f t="shared" si="16"/>
        <v>FY20
511
Denton
Fixed Route</v>
      </c>
      <c r="AC106" s="46" t="str">
        <f t="shared" si="16"/>
        <v>FY20
711
NTMC Denton
Fixed Route</v>
      </c>
      <c r="AD106" s="46" t="str">
        <f t="shared" si="16"/>
        <v>FY20
512
Highland Village
Fixed Route</v>
      </c>
      <c r="AE106" s="46" t="str">
        <f t="shared" si="16"/>
        <v>FY20
712
NTMC Highland Village
Fixed Route</v>
      </c>
      <c r="AF106" s="46" t="str">
        <f t="shared" si="16"/>
        <v>FY20
513
Lewisville
Fixed Route</v>
      </c>
      <c r="AG106" s="46" t="str">
        <f t="shared" si="16"/>
        <v>FY20
713
NTMC Lewisville
Fixed Route</v>
      </c>
      <c r="AH106" s="46" t="str">
        <f t="shared" si="16"/>
        <v>FY20
530
Demand Response</v>
      </c>
      <c r="AI106" s="46" t="str">
        <f t="shared" si="16"/>
        <v>FY20
730
NTMC Demand Response</v>
      </c>
      <c r="AJ106" s="46" t="str">
        <f t="shared" si="16"/>
        <v>FY20
531
Denton
Demand Response</v>
      </c>
      <c r="AK106" s="46" t="str">
        <f t="shared" si="16"/>
        <v>FY20
731
NTMC Denton
Demand Response</v>
      </c>
      <c r="AL106" s="46" t="str">
        <f t="shared" si="16"/>
        <v>FY20
532
HV
Demand Response</v>
      </c>
      <c r="AM106" s="46" t="str">
        <f t="shared" si="16"/>
        <v>FY20
732
NTMC HV
Demand Response</v>
      </c>
      <c r="AN106" s="46" t="str">
        <f t="shared" si="16"/>
        <v>FY20
533
Lewisville
Demand Response</v>
      </c>
      <c r="AO106" s="46" t="str">
        <f t="shared" si="16"/>
        <v>FY20
733
NTMC Lewisville
Demand Response</v>
      </c>
      <c r="AP106" s="46" t="str">
        <f t="shared" si="16"/>
        <v>FY20
540
NTX</v>
      </c>
      <c r="AQ106" s="46" t="str">
        <f t="shared" si="16"/>
        <v>FY20
740
NTMC NTX</v>
      </c>
      <c r="AR106" s="46" t="str">
        <f t="shared" si="16"/>
        <v>FY20
570
Customer Service</v>
      </c>
      <c r="AS106" s="46" t="str">
        <f t="shared" si="16"/>
        <v>FY20
770
NTMC Customer Service</v>
      </c>
      <c r="AT106" s="46" t="str">
        <f t="shared" si="16"/>
        <v>FY20
580
S&amp;D</v>
      </c>
      <c r="AU106" s="46" t="str">
        <f t="shared" si="16"/>
        <v>FY20
780
NTMC S&amp;D</v>
      </c>
      <c r="AV106" s="46" t="str">
        <f t="shared" si="16"/>
        <v>FY20
590
Maintenance</v>
      </c>
      <c r="AW106" s="46" t="str">
        <f t="shared" si="16"/>
        <v>FY20
790
NTMC Maintenance</v>
      </c>
      <c r="AX106" s="298" t="str">
        <f t="shared" si="16"/>
        <v>TOTAL
FY20
Bus
Services</v>
      </c>
      <c r="AY106" s="297"/>
      <c r="AZ106" s="46" t="str">
        <f t="shared" si="16"/>
        <v>TOTAL 
FY20
Rail 
Services</v>
      </c>
      <c r="BA106" s="297"/>
      <c r="BB106" s="46" t="s">
        <v>128</v>
      </c>
      <c r="BC106" s="47" t="s">
        <v>348</v>
      </c>
      <c r="BN106" s="8"/>
      <c r="BQ106" s="60" t="s">
        <v>201</v>
      </c>
      <c r="BR106" s="140" t="s">
        <v>202</v>
      </c>
      <c r="BS106" s="140" t="s">
        <v>203</v>
      </c>
      <c r="BT106" s="140" t="s">
        <v>204</v>
      </c>
      <c r="BU106" s="140" t="s">
        <v>260</v>
      </c>
    </row>
    <row r="107" spans="1:74" x14ac:dyDescent="0.25">
      <c r="B107" s="35" t="s">
        <v>129</v>
      </c>
      <c r="C107" s="7">
        <f t="shared" ref="C107:P107" si="17">SUM(C8:C21)</f>
        <v>371456</v>
      </c>
      <c r="D107" s="7">
        <f>SUM(D8:D21)</f>
        <v>128403</v>
      </c>
      <c r="E107" s="7">
        <f t="shared" si="17"/>
        <v>0</v>
      </c>
      <c r="F107" s="7">
        <f t="shared" si="17"/>
        <v>1228115</v>
      </c>
      <c r="G107" s="7">
        <f t="shared" si="17"/>
        <v>798982</v>
      </c>
      <c r="H107" s="7">
        <f t="shared" si="17"/>
        <v>657060</v>
      </c>
      <c r="I107" s="7">
        <f t="shared" si="17"/>
        <v>193317</v>
      </c>
      <c r="J107" s="7">
        <f t="shared" si="17"/>
        <v>130546</v>
      </c>
      <c r="K107" s="7">
        <f>SUM(K8:K21)</f>
        <v>284048</v>
      </c>
      <c r="L107" s="7">
        <f t="shared" si="17"/>
        <v>3791927</v>
      </c>
      <c r="M107" s="215"/>
      <c r="N107" s="7">
        <f t="shared" si="17"/>
        <v>0</v>
      </c>
      <c r="O107" s="7">
        <f>SUM(O8:O21)</f>
        <v>1394780</v>
      </c>
      <c r="P107" s="7">
        <f t="shared" si="17"/>
        <v>0</v>
      </c>
      <c r="Q107" s="7">
        <f t="shared" ref="Q107:AZ107" si="18">SUM(Q8:Q21)</f>
        <v>153220</v>
      </c>
      <c r="R107" s="7">
        <f t="shared" si="18"/>
        <v>0</v>
      </c>
      <c r="S107" s="7">
        <f t="shared" si="18"/>
        <v>82612</v>
      </c>
      <c r="T107" s="7">
        <f t="shared" si="18"/>
        <v>0</v>
      </c>
      <c r="U107" s="7">
        <f t="shared" si="18"/>
        <v>42918</v>
      </c>
      <c r="V107" s="7">
        <f t="shared" si="18"/>
        <v>0</v>
      </c>
      <c r="W107" s="7"/>
      <c r="X107" s="7">
        <f t="shared" si="18"/>
        <v>0</v>
      </c>
      <c r="Y107" s="7">
        <f t="shared" si="18"/>
        <v>521464</v>
      </c>
      <c r="Z107" s="7">
        <f t="shared" si="18"/>
        <v>690888</v>
      </c>
      <c r="AA107" s="7">
        <f t="shared" si="18"/>
        <v>0</v>
      </c>
      <c r="AB107" s="7">
        <f t="shared" si="18"/>
        <v>0</v>
      </c>
      <c r="AC107" s="7">
        <f t="shared" si="18"/>
        <v>1800806</v>
      </c>
      <c r="AD107" s="7">
        <f t="shared" si="18"/>
        <v>0</v>
      </c>
      <c r="AE107" s="7">
        <f t="shared" si="18"/>
        <v>181596</v>
      </c>
      <c r="AF107" s="7">
        <f t="shared" si="18"/>
        <v>0</v>
      </c>
      <c r="AG107" s="7">
        <f t="shared" si="18"/>
        <v>883433</v>
      </c>
      <c r="AH107" s="7">
        <f t="shared" si="18"/>
        <v>0</v>
      </c>
      <c r="AI107" s="7">
        <f t="shared" si="18"/>
        <v>0</v>
      </c>
      <c r="AJ107" s="7">
        <f t="shared" si="18"/>
        <v>0</v>
      </c>
      <c r="AK107" s="7">
        <f t="shared" si="18"/>
        <v>329786</v>
      </c>
      <c r="AL107" s="7">
        <f t="shared" si="18"/>
        <v>0</v>
      </c>
      <c r="AM107" s="7">
        <f t="shared" si="18"/>
        <v>44981</v>
      </c>
      <c r="AN107" s="7">
        <f t="shared" si="18"/>
        <v>0</v>
      </c>
      <c r="AO107" s="7">
        <f t="shared" si="18"/>
        <v>437998</v>
      </c>
      <c r="AP107" s="7">
        <f t="shared" si="18"/>
        <v>0</v>
      </c>
      <c r="AQ107" s="7">
        <f t="shared" si="18"/>
        <v>121029</v>
      </c>
      <c r="AR107" s="7">
        <f t="shared" si="18"/>
        <v>0</v>
      </c>
      <c r="AS107" s="7">
        <f t="shared" si="18"/>
        <v>543411</v>
      </c>
      <c r="AT107" s="7">
        <f t="shared" si="18"/>
        <v>0</v>
      </c>
      <c r="AU107" s="7">
        <f t="shared" si="18"/>
        <v>771975</v>
      </c>
      <c r="AV107" s="7">
        <f t="shared" si="18"/>
        <v>0</v>
      </c>
      <c r="AW107" s="7">
        <f t="shared" si="18"/>
        <v>1150815</v>
      </c>
      <c r="AX107" s="36">
        <f t="shared" si="18"/>
        <v>9151712</v>
      </c>
      <c r="AY107" s="215"/>
      <c r="AZ107" s="7">
        <f t="shared" si="18"/>
        <v>513376</v>
      </c>
      <c r="BA107" s="215"/>
      <c r="BB107" s="7">
        <f t="shared" ref="BB107:BB116" si="19">L107+AX107+AZ107</f>
        <v>13457015</v>
      </c>
      <c r="BC107" s="48">
        <f t="shared" ref="BC107:BC116" si="20">AW107+AU107+AS107+AQ107+AO107+AM107+AK107+AI107+AG107+AE107+AC107+Y107+U107+S107+Q107+O107</f>
        <v>8460824</v>
      </c>
      <c r="BN107" s="8"/>
      <c r="BQ107" s="7">
        <f>+N107+P107+R107+T107+V107+X107+Z107+AB107+AF107+AJ107+AL107+AN107+AP107+AR107+AT107+AV107</f>
        <v>690888</v>
      </c>
      <c r="BR107" s="7">
        <f>+O107+Q107+S107+U107+W107+Y107+AA107+AC107+AG107+AK107+AM107+AO107+AQ107+AS107+AU107+AW107</f>
        <v>8279228</v>
      </c>
      <c r="BS107" s="7">
        <f>+BQ107+BR107</f>
        <v>8970116</v>
      </c>
      <c r="BT107" s="7">
        <f>BQ107+AZ107+L107</f>
        <v>4996191</v>
      </c>
      <c r="BU107" s="83">
        <f>X107+Y107+Z107+AA107+AB107+AC107+AD107+AE107+AF107+AG107+AH107+AI107+AJ107+AK107+AL107+AM107+AN107+AO107+AP107+AQ107+AR107+AS107+AT107+AU107+AV107+AW107</f>
        <v>7478182</v>
      </c>
      <c r="BV107" s="83"/>
    </row>
    <row r="108" spans="1:74" x14ac:dyDescent="0.25">
      <c r="B108" s="35" t="s">
        <v>349</v>
      </c>
      <c r="C108" s="7">
        <f t="shared" ref="C108:L108" si="21">SUM(C24:C38)</f>
        <v>415479</v>
      </c>
      <c r="D108" s="7">
        <f t="shared" si="21"/>
        <v>50630</v>
      </c>
      <c r="E108" s="7">
        <f t="shared" si="21"/>
        <v>11000</v>
      </c>
      <c r="F108" s="7">
        <f t="shared" si="21"/>
        <v>435770</v>
      </c>
      <c r="G108" s="7">
        <f t="shared" si="21"/>
        <v>306500</v>
      </c>
      <c r="H108" s="7">
        <f t="shared" si="21"/>
        <v>413219</v>
      </c>
      <c r="I108" s="7">
        <f t="shared" si="21"/>
        <v>45066</v>
      </c>
      <c r="J108" s="7">
        <f t="shared" si="21"/>
        <v>45600</v>
      </c>
      <c r="K108" s="7">
        <f t="shared" si="21"/>
        <v>244296</v>
      </c>
      <c r="L108" s="7">
        <f t="shared" si="21"/>
        <v>1967560</v>
      </c>
      <c r="M108" s="215"/>
      <c r="N108" s="7">
        <f>SUM(N24:N38)</f>
        <v>0</v>
      </c>
      <c r="O108" s="7">
        <f>SUM(O24:O38)</f>
        <v>0</v>
      </c>
      <c r="P108" s="7">
        <f>SUM(P24:P38)</f>
        <v>0</v>
      </c>
      <c r="Q108" s="7">
        <f>SUM(Q24:Q38)</f>
        <v>0</v>
      </c>
      <c r="R108" s="7">
        <f t="shared" ref="R108:Z108" si="22">SUM(R24:R38)</f>
        <v>0</v>
      </c>
      <c r="S108" s="7">
        <f t="shared" si="22"/>
        <v>0</v>
      </c>
      <c r="T108" s="7">
        <f t="shared" si="22"/>
        <v>0</v>
      </c>
      <c r="U108" s="7">
        <f t="shared" si="22"/>
        <v>0</v>
      </c>
      <c r="V108" s="7">
        <f t="shared" si="22"/>
        <v>0</v>
      </c>
      <c r="W108" s="7"/>
      <c r="X108" s="7">
        <f t="shared" si="22"/>
        <v>580280</v>
      </c>
      <c r="Y108" s="7">
        <f t="shared" si="22"/>
        <v>95040</v>
      </c>
      <c r="Z108" s="7">
        <f t="shared" si="22"/>
        <v>0</v>
      </c>
      <c r="AA108" s="7">
        <f>SUM(AA24:AA38)</f>
        <v>66280</v>
      </c>
      <c r="AB108" s="7">
        <f t="shared" ref="AB108:AG108" si="23">SUM(AB24:AB38)</f>
        <v>0</v>
      </c>
      <c r="AC108" s="7">
        <f t="shared" si="23"/>
        <v>0</v>
      </c>
      <c r="AD108" s="7">
        <f t="shared" si="23"/>
        <v>0</v>
      </c>
      <c r="AE108" s="7">
        <f t="shared" si="23"/>
        <v>0</v>
      </c>
      <c r="AF108" s="7">
        <f t="shared" si="23"/>
        <v>0</v>
      </c>
      <c r="AG108" s="7">
        <f t="shared" si="23"/>
        <v>0</v>
      </c>
      <c r="AH108" s="7">
        <f>SUM(AH24:AH38)</f>
        <v>79500</v>
      </c>
      <c r="AI108" s="7">
        <f t="shared" ref="AI108:AO108" si="24">SUM(AI24:AI38)</f>
        <v>0</v>
      </c>
      <c r="AJ108" s="7">
        <f t="shared" si="24"/>
        <v>0</v>
      </c>
      <c r="AK108" s="7">
        <f t="shared" si="24"/>
        <v>0</v>
      </c>
      <c r="AL108" s="7">
        <f t="shared" si="24"/>
        <v>0</v>
      </c>
      <c r="AM108" s="7">
        <f t="shared" si="24"/>
        <v>0</v>
      </c>
      <c r="AN108" s="7">
        <f t="shared" si="24"/>
        <v>0</v>
      </c>
      <c r="AO108" s="7">
        <f t="shared" si="24"/>
        <v>0</v>
      </c>
      <c r="AP108" s="7">
        <f>SUM(AP24:AP38)</f>
        <v>7650</v>
      </c>
      <c r="AQ108" s="7">
        <f t="shared" ref="AQ108:AZ108" si="25">SUM(AQ24:AQ38)</f>
        <v>0</v>
      </c>
      <c r="AR108" s="7">
        <f t="shared" si="25"/>
        <v>54864</v>
      </c>
      <c r="AS108" s="7">
        <f t="shared" si="25"/>
        <v>0</v>
      </c>
      <c r="AT108" s="7">
        <f t="shared" si="25"/>
        <v>5000</v>
      </c>
      <c r="AU108" s="7">
        <f t="shared" si="25"/>
        <v>0</v>
      </c>
      <c r="AV108" s="7">
        <f t="shared" si="25"/>
        <v>356410</v>
      </c>
      <c r="AW108" s="7">
        <f t="shared" si="25"/>
        <v>0</v>
      </c>
      <c r="AX108" s="36">
        <f t="shared" si="25"/>
        <v>1245024</v>
      </c>
      <c r="AY108" s="215"/>
      <c r="AZ108" s="7">
        <f t="shared" si="25"/>
        <v>276112</v>
      </c>
      <c r="BA108" s="215"/>
      <c r="BB108" s="7">
        <f t="shared" si="19"/>
        <v>3488696</v>
      </c>
      <c r="BC108" s="48">
        <f t="shared" si="20"/>
        <v>95040</v>
      </c>
      <c r="BN108" s="8"/>
      <c r="BQ108" s="7">
        <f t="shared" ref="BQ108:BR115" si="26">+N108+P108+R108+T108+V108+X108+Z108+AB108+AF108+AJ108+AL108+AN108+AP108+AR108+AT108+AV108</f>
        <v>1004204</v>
      </c>
      <c r="BR108" s="7">
        <f t="shared" si="26"/>
        <v>161320</v>
      </c>
      <c r="BS108" s="7">
        <f t="shared" ref="BS108:BS115" si="27">+BQ108+BR108</f>
        <v>1165524</v>
      </c>
      <c r="BT108" s="7">
        <f t="shared" ref="BT108:BT115" si="28">BQ108+AZ108+L108</f>
        <v>3247876</v>
      </c>
      <c r="BU108" s="83">
        <f t="shared" ref="BU108:BU115" si="29">X108+Y108+Z108+AA108+AB108+AC108+AD108+AE108+AF108+AG108+AH108+AI108+AJ108+AK108+AL108+AM108+AN108+AO108+AP108+AQ108+AR108+AS108+AT108+AU108+AV108+AW108</f>
        <v>1245024</v>
      </c>
      <c r="BV108" s="83"/>
    </row>
    <row r="109" spans="1:74" x14ac:dyDescent="0.25">
      <c r="B109" s="35" t="s">
        <v>350</v>
      </c>
      <c r="C109" s="7">
        <f t="shared" ref="C109:L109" si="30">SUM(C39:C48)</f>
        <v>0</v>
      </c>
      <c r="D109" s="7">
        <f t="shared" si="30"/>
        <v>24700</v>
      </c>
      <c r="E109" s="7">
        <f t="shared" si="30"/>
        <v>500</v>
      </c>
      <c r="F109" s="7">
        <f t="shared" si="30"/>
        <v>2000</v>
      </c>
      <c r="G109" s="7">
        <f t="shared" si="30"/>
        <v>0</v>
      </c>
      <c r="H109" s="7">
        <f t="shared" si="30"/>
        <v>39200</v>
      </c>
      <c r="I109" s="7">
        <f t="shared" si="30"/>
        <v>0</v>
      </c>
      <c r="J109" s="7">
        <f t="shared" si="30"/>
        <v>0</v>
      </c>
      <c r="K109" s="7">
        <f t="shared" si="30"/>
        <v>47200</v>
      </c>
      <c r="L109" s="7">
        <f t="shared" si="30"/>
        <v>113600</v>
      </c>
      <c r="M109" s="215"/>
      <c r="N109" s="7">
        <f>SUM(N39:N48)</f>
        <v>342730</v>
      </c>
      <c r="O109" s="7">
        <f>SUM(O39:O48)</f>
        <v>0</v>
      </c>
      <c r="P109" s="7">
        <f>SUM(P39:P48)</f>
        <v>46500</v>
      </c>
      <c r="Q109" s="7">
        <f>SUM(Q39:Q48)</f>
        <v>0</v>
      </c>
      <c r="R109" s="7">
        <f t="shared" ref="R109:Z109" si="31">SUM(R39:R48)</f>
        <v>22398</v>
      </c>
      <c r="S109" s="7">
        <f t="shared" si="31"/>
        <v>0</v>
      </c>
      <c r="T109" s="7">
        <f t="shared" si="31"/>
        <v>9490</v>
      </c>
      <c r="U109" s="7">
        <f t="shared" si="31"/>
        <v>0</v>
      </c>
      <c r="V109" s="7">
        <f t="shared" si="31"/>
        <v>0</v>
      </c>
      <c r="W109" s="7"/>
      <c r="X109" s="7">
        <f t="shared" si="31"/>
        <v>36704</v>
      </c>
      <c r="Y109" s="7">
        <f t="shared" si="31"/>
        <v>0</v>
      </c>
      <c r="Z109" s="7">
        <f t="shared" si="31"/>
        <v>0</v>
      </c>
      <c r="AA109" s="7">
        <f>SUM(AA39:AA48)</f>
        <v>0</v>
      </c>
      <c r="AB109" s="7">
        <f t="shared" ref="AB109:AG109" si="32">SUM(AB39:AB48)</f>
        <v>468666</v>
      </c>
      <c r="AC109" s="7">
        <f t="shared" si="32"/>
        <v>0</v>
      </c>
      <c r="AD109" s="7">
        <f t="shared" si="32"/>
        <v>31827</v>
      </c>
      <c r="AE109" s="7">
        <f t="shared" si="32"/>
        <v>0</v>
      </c>
      <c r="AF109" s="7">
        <f t="shared" si="32"/>
        <v>182630</v>
      </c>
      <c r="AG109" s="7">
        <f t="shared" si="32"/>
        <v>0</v>
      </c>
      <c r="AH109" s="7">
        <f>SUM(AH39:AH48)</f>
        <v>6000</v>
      </c>
      <c r="AI109" s="7">
        <f t="shared" ref="AI109:AO109" si="33">SUM(AI39:AI48)</f>
        <v>0</v>
      </c>
      <c r="AJ109" s="7">
        <f t="shared" si="33"/>
        <v>54379</v>
      </c>
      <c r="AK109" s="7">
        <f t="shared" si="33"/>
        <v>0</v>
      </c>
      <c r="AL109" s="7">
        <f t="shared" si="33"/>
        <v>7329</v>
      </c>
      <c r="AM109" s="7">
        <f t="shared" si="33"/>
        <v>0</v>
      </c>
      <c r="AN109" s="7">
        <f t="shared" si="33"/>
        <v>36946</v>
      </c>
      <c r="AO109" s="7">
        <f t="shared" si="33"/>
        <v>0</v>
      </c>
      <c r="AP109" s="7">
        <f>SUM(AP39:AP48)</f>
        <v>43860</v>
      </c>
      <c r="AQ109" s="7">
        <f t="shared" ref="AQ109:AZ109" si="34">SUM(AQ39:AQ48)</f>
        <v>0</v>
      </c>
      <c r="AR109" s="7">
        <f t="shared" si="34"/>
        <v>12400</v>
      </c>
      <c r="AS109" s="7">
        <f t="shared" si="34"/>
        <v>0</v>
      </c>
      <c r="AT109" s="7">
        <f t="shared" si="34"/>
        <v>21600</v>
      </c>
      <c r="AU109" s="7">
        <f t="shared" si="34"/>
        <v>0</v>
      </c>
      <c r="AV109" s="7">
        <f t="shared" si="34"/>
        <v>894100</v>
      </c>
      <c r="AW109" s="7">
        <f t="shared" si="34"/>
        <v>0</v>
      </c>
      <c r="AX109" s="36">
        <f t="shared" si="34"/>
        <v>2217559</v>
      </c>
      <c r="AY109" s="215"/>
      <c r="AZ109" s="7">
        <f t="shared" si="34"/>
        <v>976500</v>
      </c>
      <c r="BA109" s="215"/>
      <c r="BB109" s="7">
        <f t="shared" si="19"/>
        <v>3307659</v>
      </c>
      <c r="BC109" s="48">
        <f t="shared" si="20"/>
        <v>0</v>
      </c>
      <c r="BN109" s="8"/>
      <c r="BQ109" s="7">
        <f t="shared" si="26"/>
        <v>2179732</v>
      </c>
      <c r="BR109" s="7">
        <f t="shared" si="26"/>
        <v>0</v>
      </c>
      <c r="BS109" s="7">
        <f t="shared" si="27"/>
        <v>2179732</v>
      </c>
      <c r="BT109" s="7">
        <f t="shared" si="28"/>
        <v>3269832</v>
      </c>
      <c r="BU109" s="83">
        <f t="shared" si="29"/>
        <v>1796441</v>
      </c>
      <c r="BV109" s="83"/>
    </row>
    <row r="110" spans="1:74" x14ac:dyDescent="0.25">
      <c r="B110" s="35" t="s">
        <v>130</v>
      </c>
      <c r="C110" s="7">
        <f t="shared" ref="C110:L110" si="35">SUM(C49:C52)</f>
        <v>0</v>
      </c>
      <c r="D110" s="7">
        <f t="shared" si="35"/>
        <v>24800</v>
      </c>
      <c r="E110" s="7">
        <f t="shared" si="35"/>
        <v>0</v>
      </c>
      <c r="F110" s="7">
        <f t="shared" si="35"/>
        <v>0</v>
      </c>
      <c r="G110" s="7">
        <f t="shared" si="35"/>
        <v>0</v>
      </c>
      <c r="H110" s="7">
        <f t="shared" si="35"/>
        <v>0</v>
      </c>
      <c r="I110" s="7">
        <f t="shared" si="35"/>
        <v>12000</v>
      </c>
      <c r="J110" s="7">
        <f t="shared" si="35"/>
        <v>0</v>
      </c>
      <c r="K110" s="7">
        <f t="shared" si="35"/>
        <v>0</v>
      </c>
      <c r="L110" s="7">
        <f t="shared" si="35"/>
        <v>36800</v>
      </c>
      <c r="M110" s="215"/>
      <c r="N110" s="7">
        <f>SUM(N49:N52)</f>
        <v>0</v>
      </c>
      <c r="O110" s="7">
        <f>SUM(O49:O52)</f>
        <v>0</v>
      </c>
      <c r="P110" s="7">
        <f>SUM(P49:P52)</f>
        <v>0</v>
      </c>
      <c r="Q110" s="7">
        <f>SUM(Q49:Q52)</f>
        <v>0</v>
      </c>
      <c r="R110" s="7">
        <f t="shared" ref="R110:Z110" si="36">SUM(R49:R52)</f>
        <v>0</v>
      </c>
      <c r="S110" s="7">
        <f t="shared" si="36"/>
        <v>0</v>
      </c>
      <c r="T110" s="7">
        <f t="shared" si="36"/>
        <v>0</v>
      </c>
      <c r="U110" s="7">
        <f t="shared" si="36"/>
        <v>0</v>
      </c>
      <c r="V110" s="7">
        <f t="shared" si="36"/>
        <v>0</v>
      </c>
      <c r="W110" s="7"/>
      <c r="X110" s="7">
        <f t="shared" si="36"/>
        <v>108300</v>
      </c>
      <c r="Y110" s="7">
        <f t="shared" si="36"/>
        <v>0</v>
      </c>
      <c r="Z110" s="7">
        <f t="shared" si="36"/>
        <v>0</v>
      </c>
      <c r="AA110" s="7">
        <f>SUM(AA49:AA52)</f>
        <v>0</v>
      </c>
      <c r="AB110" s="7">
        <f t="shared" ref="AB110:AG110" si="37">SUM(AB49:AB52)</f>
        <v>0</v>
      </c>
      <c r="AC110" s="7">
        <f t="shared" si="37"/>
        <v>0</v>
      </c>
      <c r="AD110" s="7">
        <f t="shared" si="37"/>
        <v>0</v>
      </c>
      <c r="AE110" s="7">
        <f t="shared" si="37"/>
        <v>0</v>
      </c>
      <c r="AF110" s="7">
        <f t="shared" si="37"/>
        <v>0</v>
      </c>
      <c r="AG110" s="7">
        <f t="shared" si="37"/>
        <v>0</v>
      </c>
      <c r="AH110" s="7">
        <f>SUM(AH49:AH52)</f>
        <v>42000</v>
      </c>
      <c r="AI110" s="7">
        <f t="shared" ref="AI110:AO110" si="38">SUM(AI49:AI52)</f>
        <v>0</v>
      </c>
      <c r="AJ110" s="7">
        <f t="shared" si="38"/>
        <v>0</v>
      </c>
      <c r="AK110" s="7">
        <f t="shared" si="38"/>
        <v>0</v>
      </c>
      <c r="AL110" s="7">
        <f t="shared" si="38"/>
        <v>0</v>
      </c>
      <c r="AM110" s="7">
        <f t="shared" si="38"/>
        <v>0</v>
      </c>
      <c r="AN110" s="7">
        <f t="shared" si="38"/>
        <v>0</v>
      </c>
      <c r="AO110" s="7">
        <f t="shared" si="38"/>
        <v>0</v>
      </c>
      <c r="AP110" s="7">
        <f>SUM(AP49:AP52)</f>
        <v>0</v>
      </c>
      <c r="AQ110" s="7">
        <f t="shared" ref="AQ110:AZ110" si="39">SUM(AQ49:AQ52)</f>
        <v>0</v>
      </c>
      <c r="AR110" s="7">
        <f t="shared" si="39"/>
        <v>25320</v>
      </c>
      <c r="AS110" s="7">
        <f t="shared" si="39"/>
        <v>0</v>
      </c>
      <c r="AT110" s="7">
        <f t="shared" si="39"/>
        <v>0</v>
      </c>
      <c r="AU110" s="7">
        <f t="shared" si="39"/>
        <v>0</v>
      </c>
      <c r="AV110" s="7">
        <f t="shared" si="39"/>
        <v>0</v>
      </c>
      <c r="AW110" s="7">
        <f t="shared" si="39"/>
        <v>0</v>
      </c>
      <c r="AX110" s="36">
        <f t="shared" si="39"/>
        <v>175620</v>
      </c>
      <c r="AY110" s="215"/>
      <c r="AZ110" s="7">
        <f t="shared" si="39"/>
        <v>315568</v>
      </c>
      <c r="BA110" s="215"/>
      <c r="BB110" s="7">
        <f t="shared" si="19"/>
        <v>527988</v>
      </c>
      <c r="BC110" s="48">
        <f t="shared" si="20"/>
        <v>0</v>
      </c>
      <c r="BN110" s="8"/>
      <c r="BQ110" s="7">
        <f t="shared" si="26"/>
        <v>133620</v>
      </c>
      <c r="BR110" s="7">
        <f t="shared" si="26"/>
        <v>0</v>
      </c>
      <c r="BS110" s="7">
        <f t="shared" si="27"/>
        <v>133620</v>
      </c>
      <c r="BT110" s="7">
        <f t="shared" si="28"/>
        <v>485988</v>
      </c>
      <c r="BU110" s="83">
        <f t="shared" si="29"/>
        <v>175620</v>
      </c>
      <c r="BV110" s="83"/>
    </row>
    <row r="111" spans="1:74" x14ac:dyDescent="0.25">
      <c r="B111" s="35" t="s">
        <v>131</v>
      </c>
      <c r="C111" s="7">
        <f t="shared" ref="C111:L111" si="40">SUM(C53:C60)</f>
        <v>0</v>
      </c>
      <c r="D111" s="7">
        <f t="shared" si="40"/>
        <v>0</v>
      </c>
      <c r="E111" s="7">
        <f t="shared" si="40"/>
        <v>0</v>
      </c>
      <c r="F111" s="7">
        <f t="shared" si="40"/>
        <v>13320</v>
      </c>
      <c r="G111" s="7">
        <f t="shared" si="40"/>
        <v>0</v>
      </c>
      <c r="H111" s="7">
        <f t="shared" si="40"/>
        <v>0</v>
      </c>
      <c r="I111" s="7">
        <f t="shared" si="40"/>
        <v>0</v>
      </c>
      <c r="J111" s="7">
        <f t="shared" si="40"/>
        <v>0</v>
      </c>
      <c r="K111" s="7">
        <f t="shared" si="40"/>
        <v>0</v>
      </c>
      <c r="L111" s="7">
        <f t="shared" si="40"/>
        <v>13320</v>
      </c>
      <c r="M111" s="215"/>
      <c r="N111" s="7">
        <f>SUM(N53:N60)</f>
        <v>67005</v>
      </c>
      <c r="O111" s="7">
        <f>SUM(O53:O60)</f>
        <v>30786</v>
      </c>
      <c r="P111" s="7">
        <f>SUM(P53:P60)</f>
        <v>15911</v>
      </c>
      <c r="Q111" s="7">
        <f>SUM(Q53:Q60)</f>
        <v>3383</v>
      </c>
      <c r="R111" s="7">
        <f t="shared" ref="R111:Z111" si="41">SUM(R53:R60)</f>
        <v>11408</v>
      </c>
      <c r="S111" s="7">
        <f t="shared" si="41"/>
        <v>2687</v>
      </c>
      <c r="T111" s="7">
        <f t="shared" si="41"/>
        <v>3247</v>
      </c>
      <c r="U111" s="7">
        <f t="shared" si="41"/>
        <v>938</v>
      </c>
      <c r="V111" s="7">
        <f t="shared" si="41"/>
        <v>0</v>
      </c>
      <c r="W111" s="7"/>
      <c r="X111" s="7">
        <f t="shared" si="41"/>
        <v>0</v>
      </c>
      <c r="Y111" s="7">
        <f t="shared" si="41"/>
        <v>504</v>
      </c>
      <c r="Z111" s="7">
        <f t="shared" si="41"/>
        <v>0</v>
      </c>
      <c r="AA111" s="7">
        <f>SUM(AA53:AA60)</f>
        <v>12000</v>
      </c>
      <c r="AB111" s="7">
        <f t="shared" ref="AB111:AG111" si="42">SUM(AB53:AB60)</f>
        <v>87555</v>
      </c>
      <c r="AC111" s="7">
        <f t="shared" si="42"/>
        <v>36473</v>
      </c>
      <c r="AD111" s="7">
        <f t="shared" si="42"/>
        <v>10891</v>
      </c>
      <c r="AE111" s="7">
        <f t="shared" si="42"/>
        <v>4009</v>
      </c>
      <c r="AF111" s="7">
        <f t="shared" si="42"/>
        <v>61451</v>
      </c>
      <c r="AG111" s="7">
        <f t="shared" si="42"/>
        <v>19177</v>
      </c>
      <c r="AH111" s="7">
        <f>SUM(AH53:AH60)</f>
        <v>0</v>
      </c>
      <c r="AI111" s="7">
        <f t="shared" ref="AI111:AO111" si="43">SUM(AI53:AI60)</f>
        <v>0</v>
      </c>
      <c r="AJ111" s="7">
        <f t="shared" si="43"/>
        <v>18607</v>
      </c>
      <c r="AK111" s="7">
        <f t="shared" si="43"/>
        <v>7280</v>
      </c>
      <c r="AL111" s="7">
        <f t="shared" si="43"/>
        <v>2510</v>
      </c>
      <c r="AM111" s="7">
        <f t="shared" si="43"/>
        <v>993</v>
      </c>
      <c r="AN111" s="7">
        <f t="shared" si="43"/>
        <v>12640</v>
      </c>
      <c r="AO111" s="7">
        <f t="shared" si="43"/>
        <v>9669</v>
      </c>
      <c r="AP111" s="7">
        <f>SUM(AP53:AP60)</f>
        <v>14956</v>
      </c>
      <c r="AQ111" s="7">
        <f t="shared" ref="AQ111:AZ111" si="44">SUM(AQ53:AQ60)</f>
        <v>2673</v>
      </c>
      <c r="AR111" s="7">
        <f t="shared" si="44"/>
        <v>0</v>
      </c>
      <c r="AS111" s="7">
        <f t="shared" si="44"/>
        <v>480</v>
      </c>
      <c r="AT111" s="7">
        <f t="shared" si="44"/>
        <v>1992</v>
      </c>
      <c r="AU111" s="7">
        <f t="shared" si="44"/>
        <v>720</v>
      </c>
      <c r="AV111" s="7">
        <f t="shared" si="44"/>
        <v>18132</v>
      </c>
      <c r="AW111" s="7">
        <f t="shared" si="44"/>
        <v>12864</v>
      </c>
      <c r="AX111" s="36">
        <f t="shared" si="44"/>
        <v>470941</v>
      </c>
      <c r="AY111" s="215"/>
      <c r="AZ111" s="7">
        <f t="shared" si="44"/>
        <v>1400704</v>
      </c>
      <c r="BA111" s="215"/>
      <c r="BB111" s="7">
        <f t="shared" si="19"/>
        <v>1884965</v>
      </c>
      <c r="BC111" s="48">
        <f t="shared" si="20"/>
        <v>132636</v>
      </c>
      <c r="BN111" s="8"/>
      <c r="BQ111" s="7">
        <f t="shared" si="26"/>
        <v>315414</v>
      </c>
      <c r="BR111" s="7">
        <f t="shared" si="26"/>
        <v>140627</v>
      </c>
      <c r="BS111" s="7">
        <f t="shared" si="27"/>
        <v>456041</v>
      </c>
      <c r="BT111" s="7">
        <f t="shared" si="28"/>
        <v>1729438</v>
      </c>
      <c r="BU111" s="83">
        <f t="shared" si="29"/>
        <v>335576</v>
      </c>
      <c r="BV111" s="83"/>
    </row>
    <row r="112" spans="1:74" x14ac:dyDescent="0.25">
      <c r="B112" s="35" t="s">
        <v>351</v>
      </c>
      <c r="C112" s="7">
        <f t="shared" ref="C112:L112" si="45">SUM(C61)</f>
        <v>0</v>
      </c>
      <c r="D112" s="7">
        <f>SUM(D61)</f>
        <v>0</v>
      </c>
      <c r="E112" s="7">
        <f t="shared" si="45"/>
        <v>0</v>
      </c>
      <c r="F112" s="7">
        <f t="shared" si="45"/>
        <v>0</v>
      </c>
      <c r="G112" s="7">
        <f t="shared" si="45"/>
        <v>0</v>
      </c>
      <c r="H112" s="7">
        <f t="shared" si="45"/>
        <v>0</v>
      </c>
      <c r="I112" s="7">
        <f t="shared" si="45"/>
        <v>0</v>
      </c>
      <c r="J112" s="7">
        <f t="shared" si="45"/>
        <v>0</v>
      </c>
      <c r="K112" s="7">
        <f>SUM(K61)</f>
        <v>0</v>
      </c>
      <c r="L112" s="7">
        <f t="shared" si="45"/>
        <v>0</v>
      </c>
      <c r="M112" s="215"/>
      <c r="N112" s="7">
        <f>SUM(N61)</f>
        <v>72000</v>
      </c>
      <c r="O112" s="7">
        <f>SUM(O61)</f>
        <v>0</v>
      </c>
      <c r="P112" s="7">
        <f>SUM(P61)</f>
        <v>0</v>
      </c>
      <c r="Q112" s="7">
        <f>SUM(Q61)</f>
        <v>0</v>
      </c>
      <c r="R112" s="7">
        <f t="shared" ref="R112:Z112" si="46">SUM(R61)</f>
        <v>81504</v>
      </c>
      <c r="S112" s="7">
        <f t="shared" si="46"/>
        <v>0</v>
      </c>
      <c r="T112" s="7">
        <f t="shared" si="46"/>
        <v>137952</v>
      </c>
      <c r="U112" s="7">
        <f t="shared" si="46"/>
        <v>0</v>
      </c>
      <c r="V112" s="7">
        <f t="shared" si="46"/>
        <v>245705</v>
      </c>
      <c r="W112" s="7"/>
      <c r="X112" s="7">
        <f t="shared" si="46"/>
        <v>0</v>
      </c>
      <c r="Y112" s="7">
        <f t="shared" si="46"/>
        <v>0</v>
      </c>
      <c r="Z112" s="7">
        <f t="shared" si="46"/>
        <v>0</v>
      </c>
      <c r="AA112" s="7">
        <f>SUM(AA61)</f>
        <v>0</v>
      </c>
      <c r="AB112" s="7">
        <f t="shared" ref="AB112:AG112" si="47">SUM(AB61)</f>
        <v>0</v>
      </c>
      <c r="AC112" s="7">
        <f t="shared" si="47"/>
        <v>0</v>
      </c>
      <c r="AD112" s="7">
        <f t="shared" si="47"/>
        <v>0</v>
      </c>
      <c r="AE112" s="7">
        <f t="shared" si="47"/>
        <v>0</v>
      </c>
      <c r="AF112" s="7">
        <f t="shared" si="47"/>
        <v>0</v>
      </c>
      <c r="AG112" s="7">
        <f t="shared" si="47"/>
        <v>0</v>
      </c>
      <c r="AH112" s="7">
        <f>SUM(AH61)</f>
        <v>0</v>
      </c>
      <c r="AI112" s="7">
        <f t="shared" ref="AI112:AO112" si="48">SUM(AI61)</f>
        <v>0</v>
      </c>
      <c r="AJ112" s="7">
        <f t="shared" si="48"/>
        <v>0</v>
      </c>
      <c r="AK112" s="7">
        <f t="shared" si="48"/>
        <v>0</v>
      </c>
      <c r="AL112" s="7">
        <f t="shared" si="48"/>
        <v>20000</v>
      </c>
      <c r="AM112" s="7">
        <f t="shared" si="48"/>
        <v>0</v>
      </c>
      <c r="AN112" s="7">
        <f t="shared" si="48"/>
        <v>0</v>
      </c>
      <c r="AO112" s="7">
        <f t="shared" si="48"/>
        <v>0</v>
      </c>
      <c r="AP112" s="7">
        <f>SUM(AP61)</f>
        <v>75000</v>
      </c>
      <c r="AQ112" s="7">
        <f t="shared" ref="AQ112:AZ112" si="49">SUM(AQ61)</f>
        <v>0</v>
      </c>
      <c r="AR112" s="7">
        <f t="shared" si="49"/>
        <v>0</v>
      </c>
      <c r="AS112" s="7">
        <f t="shared" si="49"/>
        <v>0</v>
      </c>
      <c r="AT112" s="7">
        <f t="shared" si="49"/>
        <v>0</v>
      </c>
      <c r="AU112" s="7">
        <f t="shared" si="49"/>
        <v>0</v>
      </c>
      <c r="AV112" s="7">
        <f t="shared" si="49"/>
        <v>0</v>
      </c>
      <c r="AW112" s="7">
        <f t="shared" si="49"/>
        <v>0</v>
      </c>
      <c r="AX112" s="36">
        <f t="shared" si="49"/>
        <v>632161</v>
      </c>
      <c r="AY112" s="215"/>
      <c r="AZ112" s="7">
        <f t="shared" si="49"/>
        <v>10068545</v>
      </c>
      <c r="BA112" s="215"/>
      <c r="BB112" s="7">
        <f t="shared" si="19"/>
        <v>10700706</v>
      </c>
      <c r="BC112" s="48">
        <f t="shared" si="20"/>
        <v>0</v>
      </c>
      <c r="BN112" s="8"/>
      <c r="BQ112" s="7">
        <f t="shared" si="26"/>
        <v>632161</v>
      </c>
      <c r="BR112" s="7">
        <f t="shared" si="26"/>
        <v>0</v>
      </c>
      <c r="BS112" s="7">
        <f t="shared" si="27"/>
        <v>632161</v>
      </c>
      <c r="BT112" s="7">
        <f t="shared" si="28"/>
        <v>10700706</v>
      </c>
      <c r="BU112" s="83">
        <f t="shared" si="29"/>
        <v>95000</v>
      </c>
      <c r="BV112" s="83"/>
    </row>
    <row r="113" spans="2:74" x14ac:dyDescent="0.25">
      <c r="B113" s="35" t="s">
        <v>352</v>
      </c>
      <c r="C113" s="7">
        <f t="shared" ref="C113:L113" si="50">SUM(C62:C69)</f>
        <v>59840</v>
      </c>
      <c r="D113" s="7">
        <f t="shared" si="50"/>
        <v>2250</v>
      </c>
      <c r="E113" s="7">
        <f t="shared" si="50"/>
        <v>28300</v>
      </c>
      <c r="F113" s="7">
        <f t="shared" si="50"/>
        <v>61805</v>
      </c>
      <c r="G113" s="7">
        <f t="shared" si="50"/>
        <v>31850</v>
      </c>
      <c r="H113" s="7">
        <f t="shared" si="50"/>
        <v>28440</v>
      </c>
      <c r="I113" s="7">
        <f t="shared" si="50"/>
        <v>7000</v>
      </c>
      <c r="J113" s="7">
        <f t="shared" si="50"/>
        <v>36280</v>
      </c>
      <c r="K113" s="7">
        <f t="shared" si="50"/>
        <v>16400</v>
      </c>
      <c r="L113" s="7">
        <f t="shared" si="50"/>
        <v>272165</v>
      </c>
      <c r="M113" s="215"/>
      <c r="N113" s="7">
        <f>SUM(N62:N69)</f>
        <v>0</v>
      </c>
      <c r="O113" s="7">
        <f>SUM(O62:O69)</f>
        <v>0</v>
      </c>
      <c r="P113" s="7">
        <f>SUM(P62:P69)</f>
        <v>0</v>
      </c>
      <c r="Q113" s="7">
        <f>SUM(Q62:Q69)</f>
        <v>0</v>
      </c>
      <c r="R113" s="7">
        <f t="shared" ref="R113:Z113" si="51">SUM(R62:R69)</f>
        <v>6000</v>
      </c>
      <c r="S113" s="7">
        <f t="shared" si="51"/>
        <v>0</v>
      </c>
      <c r="T113" s="7">
        <f t="shared" si="51"/>
        <v>6000</v>
      </c>
      <c r="U113" s="7">
        <f t="shared" si="51"/>
        <v>0</v>
      </c>
      <c r="V113" s="7">
        <f t="shared" si="51"/>
        <v>0</v>
      </c>
      <c r="W113" s="7"/>
      <c r="X113" s="7">
        <f t="shared" si="51"/>
        <v>300</v>
      </c>
      <c r="Y113" s="7">
        <f t="shared" si="51"/>
        <v>57200</v>
      </c>
      <c r="Z113" s="7">
        <f t="shared" si="51"/>
        <v>31700</v>
      </c>
      <c r="AA113" s="7">
        <f>SUM(AA62:AA69)</f>
        <v>0</v>
      </c>
      <c r="AB113" s="7">
        <f t="shared" ref="AB113:AG113" si="52">SUM(AB62:AB69)</f>
        <v>0</v>
      </c>
      <c r="AC113" s="7">
        <f t="shared" si="52"/>
        <v>0</v>
      </c>
      <c r="AD113" s="7">
        <f t="shared" si="52"/>
        <v>0</v>
      </c>
      <c r="AE113" s="7">
        <f t="shared" si="52"/>
        <v>0</v>
      </c>
      <c r="AF113" s="7">
        <f t="shared" si="52"/>
        <v>0</v>
      </c>
      <c r="AG113" s="7">
        <f t="shared" si="52"/>
        <v>0</v>
      </c>
      <c r="AH113" s="7">
        <f>SUM(AH62:AH69)</f>
        <v>0</v>
      </c>
      <c r="AI113" s="7">
        <f t="shared" ref="AI113:AO113" si="53">SUM(AI62:AI69)</f>
        <v>0</v>
      </c>
      <c r="AJ113" s="7">
        <f t="shared" si="53"/>
        <v>0</v>
      </c>
      <c r="AK113" s="7">
        <f t="shared" si="53"/>
        <v>0</v>
      </c>
      <c r="AL113" s="7">
        <f t="shared" si="53"/>
        <v>0</v>
      </c>
      <c r="AM113" s="7">
        <f t="shared" si="53"/>
        <v>0</v>
      </c>
      <c r="AN113" s="7">
        <f t="shared" si="53"/>
        <v>0</v>
      </c>
      <c r="AO113" s="7">
        <f t="shared" si="53"/>
        <v>0</v>
      </c>
      <c r="AP113" s="7">
        <f>SUM(AP62:AP69)</f>
        <v>51420</v>
      </c>
      <c r="AQ113" s="7">
        <f t="shared" ref="AQ113:AZ113" si="54">SUM(AQ62:AQ69)</f>
        <v>0</v>
      </c>
      <c r="AR113" s="7">
        <f t="shared" si="54"/>
        <v>0</v>
      </c>
      <c r="AS113" s="7">
        <f t="shared" si="54"/>
        <v>9600</v>
      </c>
      <c r="AT113" s="7">
        <f t="shared" si="54"/>
        <v>0</v>
      </c>
      <c r="AU113" s="7">
        <f t="shared" si="54"/>
        <v>8400</v>
      </c>
      <c r="AV113" s="7">
        <f t="shared" si="54"/>
        <v>0</v>
      </c>
      <c r="AW113" s="7">
        <f t="shared" si="54"/>
        <v>18000</v>
      </c>
      <c r="AX113" s="36">
        <f t="shared" si="54"/>
        <v>188620</v>
      </c>
      <c r="AY113" s="215"/>
      <c r="AZ113" s="7">
        <f t="shared" si="54"/>
        <v>19652</v>
      </c>
      <c r="BA113" s="215"/>
      <c r="BB113" s="7">
        <f t="shared" si="19"/>
        <v>480437</v>
      </c>
      <c r="BC113" s="48">
        <f t="shared" si="20"/>
        <v>93200</v>
      </c>
      <c r="BN113" s="8"/>
      <c r="BQ113" s="7">
        <f t="shared" si="26"/>
        <v>95420</v>
      </c>
      <c r="BR113" s="7">
        <f t="shared" si="26"/>
        <v>93200</v>
      </c>
      <c r="BS113" s="7">
        <f t="shared" si="27"/>
        <v>188620</v>
      </c>
      <c r="BT113" s="7">
        <f t="shared" si="28"/>
        <v>387237</v>
      </c>
      <c r="BU113" s="83">
        <f t="shared" si="29"/>
        <v>176620</v>
      </c>
      <c r="BV113" s="83"/>
    </row>
    <row r="114" spans="2:74" x14ac:dyDescent="0.25">
      <c r="B114" s="35" t="s">
        <v>133</v>
      </c>
      <c r="C114" s="7">
        <f t="shared" ref="C114:L114" si="55">SUM(C70)</f>
        <v>0</v>
      </c>
      <c r="D114" s="7">
        <f>SUM(D70)</f>
        <v>122500</v>
      </c>
      <c r="E114" s="7">
        <f t="shared" si="55"/>
        <v>0</v>
      </c>
      <c r="F114" s="7">
        <f t="shared" si="55"/>
        <v>0</v>
      </c>
      <c r="G114" s="7">
        <f t="shared" si="55"/>
        <v>0</v>
      </c>
      <c r="H114" s="7">
        <f t="shared" si="55"/>
        <v>3000</v>
      </c>
      <c r="I114" s="7">
        <f t="shared" si="55"/>
        <v>0</v>
      </c>
      <c r="J114" s="7">
        <f t="shared" si="55"/>
        <v>0</v>
      </c>
      <c r="K114" s="7">
        <f>SUM(K70)</f>
        <v>0</v>
      </c>
      <c r="L114" s="7">
        <f t="shared" si="55"/>
        <v>125500</v>
      </c>
      <c r="M114" s="215"/>
      <c r="N114" s="7">
        <f>SUM(N70)</f>
        <v>0</v>
      </c>
      <c r="O114" s="7">
        <f>SUM(O70)</f>
        <v>0</v>
      </c>
      <c r="P114" s="7">
        <f>SUM(P70)</f>
        <v>0</v>
      </c>
      <c r="Q114" s="7">
        <f>SUM(Q70)</f>
        <v>0</v>
      </c>
      <c r="R114" s="7">
        <f t="shared" ref="R114:Z114" si="56">SUM(R70)</f>
        <v>0</v>
      </c>
      <c r="S114" s="7">
        <f t="shared" si="56"/>
        <v>0</v>
      </c>
      <c r="T114" s="7">
        <f t="shared" si="56"/>
        <v>0</v>
      </c>
      <c r="U114" s="7">
        <f t="shared" si="56"/>
        <v>0</v>
      </c>
      <c r="V114" s="7">
        <f t="shared" si="56"/>
        <v>0</v>
      </c>
      <c r="W114" s="7"/>
      <c r="X114" s="7">
        <f t="shared" si="56"/>
        <v>2472</v>
      </c>
      <c r="Y114" s="7">
        <f t="shared" si="56"/>
        <v>0</v>
      </c>
      <c r="Z114" s="7">
        <f t="shared" si="56"/>
        <v>0</v>
      </c>
      <c r="AA114" s="7">
        <f>SUM(AA70)</f>
        <v>0</v>
      </c>
      <c r="AB114" s="7">
        <f t="shared" ref="AB114:AG114" si="57">SUM(AB70)</f>
        <v>0</v>
      </c>
      <c r="AC114" s="7">
        <f t="shared" si="57"/>
        <v>0</v>
      </c>
      <c r="AD114" s="7">
        <f t="shared" si="57"/>
        <v>0</v>
      </c>
      <c r="AE114" s="7">
        <f t="shared" si="57"/>
        <v>0</v>
      </c>
      <c r="AF114" s="7">
        <f t="shared" si="57"/>
        <v>0</v>
      </c>
      <c r="AG114" s="7">
        <f t="shared" si="57"/>
        <v>0</v>
      </c>
      <c r="AH114" s="7">
        <f>SUM(AH70)</f>
        <v>0</v>
      </c>
      <c r="AI114" s="7">
        <f t="shared" ref="AI114:AO114" si="58">SUM(AI70)</f>
        <v>0</v>
      </c>
      <c r="AJ114" s="7">
        <f t="shared" si="58"/>
        <v>0</v>
      </c>
      <c r="AK114" s="7">
        <f t="shared" si="58"/>
        <v>0</v>
      </c>
      <c r="AL114" s="7">
        <f t="shared" si="58"/>
        <v>0</v>
      </c>
      <c r="AM114" s="7">
        <f t="shared" si="58"/>
        <v>0</v>
      </c>
      <c r="AN114" s="7">
        <f t="shared" si="58"/>
        <v>0</v>
      </c>
      <c r="AO114" s="7">
        <f t="shared" si="58"/>
        <v>0</v>
      </c>
      <c r="AP114" s="7">
        <f>SUM(AP70)</f>
        <v>97581</v>
      </c>
      <c r="AQ114" s="7">
        <f t="shared" ref="AQ114:AZ114" si="59">SUM(AQ70)</f>
        <v>0</v>
      </c>
      <c r="AR114" s="7">
        <f t="shared" si="59"/>
        <v>1680</v>
      </c>
      <c r="AS114" s="7">
        <f t="shared" si="59"/>
        <v>0</v>
      </c>
      <c r="AT114" s="7">
        <f t="shared" si="59"/>
        <v>0</v>
      </c>
      <c r="AU114" s="7">
        <f t="shared" si="59"/>
        <v>0</v>
      </c>
      <c r="AV114" s="7">
        <f t="shared" si="59"/>
        <v>0</v>
      </c>
      <c r="AW114" s="7">
        <f t="shared" si="59"/>
        <v>0</v>
      </c>
      <c r="AX114" s="36">
        <f t="shared" si="59"/>
        <v>101733</v>
      </c>
      <c r="AY114" s="215"/>
      <c r="AZ114" s="7">
        <f t="shared" si="59"/>
        <v>2400</v>
      </c>
      <c r="BA114" s="215"/>
      <c r="BB114" s="7">
        <f t="shared" si="19"/>
        <v>229633</v>
      </c>
      <c r="BC114" s="48">
        <f t="shared" si="20"/>
        <v>0</v>
      </c>
      <c r="BN114" s="8"/>
      <c r="BQ114" s="7">
        <f t="shared" si="26"/>
        <v>101733</v>
      </c>
      <c r="BR114" s="7">
        <f t="shared" si="26"/>
        <v>0</v>
      </c>
      <c r="BS114" s="7">
        <f t="shared" si="27"/>
        <v>101733</v>
      </c>
      <c r="BT114" s="7">
        <f t="shared" si="28"/>
        <v>229633</v>
      </c>
      <c r="BU114" s="83">
        <f t="shared" si="29"/>
        <v>101733</v>
      </c>
      <c r="BV114" s="83"/>
    </row>
    <row r="115" spans="2:74" x14ac:dyDescent="0.25">
      <c r="B115" s="35" t="s">
        <v>134</v>
      </c>
      <c r="C115" s="7">
        <f t="shared" ref="C115:L115" si="60">SUM(C71:C78)</f>
        <v>0</v>
      </c>
      <c r="D115" s="7">
        <f t="shared" si="60"/>
        <v>99536</v>
      </c>
      <c r="E115" s="7">
        <f t="shared" si="60"/>
        <v>0</v>
      </c>
      <c r="F115" s="7">
        <f t="shared" si="60"/>
        <v>0</v>
      </c>
      <c r="G115" s="7">
        <f t="shared" si="60"/>
        <v>0</v>
      </c>
      <c r="H115" s="7">
        <f t="shared" si="60"/>
        <v>0</v>
      </c>
      <c r="I115" s="7">
        <f t="shared" si="60"/>
        <v>0</v>
      </c>
      <c r="J115" s="7">
        <f t="shared" si="60"/>
        <v>0</v>
      </c>
      <c r="K115" s="7">
        <f t="shared" si="60"/>
        <v>0</v>
      </c>
      <c r="L115" s="7">
        <f t="shared" si="60"/>
        <v>99536</v>
      </c>
      <c r="M115" s="215"/>
      <c r="N115" s="7">
        <f>SUM(N71:N78)</f>
        <v>0</v>
      </c>
      <c r="O115" s="7">
        <f>SUM(O71:O78)</f>
        <v>0</v>
      </c>
      <c r="P115" s="7">
        <f>SUM(P71:P78)</f>
        <v>0</v>
      </c>
      <c r="Q115" s="7">
        <f>SUM(Q71:Q78)</f>
        <v>0</v>
      </c>
      <c r="R115" s="7">
        <f t="shared" ref="R115:Z115" si="61">SUM(R71:R78)</f>
        <v>0</v>
      </c>
      <c r="S115" s="7">
        <f t="shared" si="61"/>
        <v>0</v>
      </c>
      <c r="T115" s="7">
        <f t="shared" si="61"/>
        <v>0</v>
      </c>
      <c r="U115" s="7">
        <f t="shared" si="61"/>
        <v>0</v>
      </c>
      <c r="V115" s="7">
        <f t="shared" si="61"/>
        <v>0</v>
      </c>
      <c r="W115" s="7"/>
      <c r="X115" s="7">
        <f t="shared" si="61"/>
        <v>1654533</v>
      </c>
      <c r="Y115" s="7">
        <f t="shared" si="61"/>
        <v>0</v>
      </c>
      <c r="Z115" s="7">
        <f t="shared" si="61"/>
        <v>0</v>
      </c>
      <c r="AA115" s="7">
        <f>SUM(AA71:AA78)</f>
        <v>0</v>
      </c>
      <c r="AB115" s="7">
        <f t="shared" ref="AB115:AG115" si="62">SUM(AB71:AB78)</f>
        <v>0</v>
      </c>
      <c r="AC115" s="7">
        <f t="shared" si="62"/>
        <v>0</v>
      </c>
      <c r="AD115" s="7">
        <f t="shared" si="62"/>
        <v>0</v>
      </c>
      <c r="AE115" s="7">
        <f t="shared" si="62"/>
        <v>0</v>
      </c>
      <c r="AF115" s="7">
        <f t="shared" si="62"/>
        <v>0</v>
      </c>
      <c r="AG115" s="7">
        <f t="shared" si="62"/>
        <v>0</v>
      </c>
      <c r="AH115" s="7">
        <f>SUM(AH71:AH78)</f>
        <v>0</v>
      </c>
      <c r="AI115" s="7">
        <f t="shared" ref="AI115:AO115" si="63">SUM(AI71:AI78)</f>
        <v>0</v>
      </c>
      <c r="AJ115" s="7">
        <f t="shared" si="63"/>
        <v>0</v>
      </c>
      <c r="AK115" s="7">
        <f t="shared" si="63"/>
        <v>0</v>
      </c>
      <c r="AL115" s="7">
        <f t="shared" si="63"/>
        <v>0</v>
      </c>
      <c r="AM115" s="7">
        <f t="shared" si="63"/>
        <v>0</v>
      </c>
      <c r="AN115" s="7">
        <f t="shared" si="63"/>
        <v>0</v>
      </c>
      <c r="AO115" s="7">
        <f t="shared" si="63"/>
        <v>0</v>
      </c>
      <c r="AP115" s="7">
        <f>SUM(AP71:AP78)</f>
        <v>0</v>
      </c>
      <c r="AQ115" s="7">
        <f t="shared" ref="AQ115:AZ115" si="64">SUM(AQ71:AQ78)</f>
        <v>0</v>
      </c>
      <c r="AR115" s="7">
        <f t="shared" si="64"/>
        <v>0</v>
      </c>
      <c r="AS115" s="7">
        <f t="shared" si="64"/>
        <v>0</v>
      </c>
      <c r="AT115" s="7">
        <f t="shared" si="64"/>
        <v>0</v>
      </c>
      <c r="AU115" s="7">
        <f t="shared" si="64"/>
        <v>0</v>
      </c>
      <c r="AV115" s="7">
        <f t="shared" si="64"/>
        <v>0</v>
      </c>
      <c r="AW115" s="7">
        <f t="shared" si="64"/>
        <v>0</v>
      </c>
      <c r="AX115" s="36">
        <f t="shared" si="64"/>
        <v>1654533</v>
      </c>
      <c r="AY115" s="215"/>
      <c r="AZ115" s="7">
        <f t="shared" si="64"/>
        <v>8857983</v>
      </c>
      <c r="BA115" s="215"/>
      <c r="BB115" s="7">
        <f t="shared" si="19"/>
        <v>10612052</v>
      </c>
      <c r="BC115" s="48">
        <f t="shared" si="20"/>
        <v>0</v>
      </c>
      <c r="BN115" s="8"/>
      <c r="BQ115" s="7">
        <f t="shared" si="26"/>
        <v>1654533</v>
      </c>
      <c r="BR115" s="7">
        <f t="shared" si="26"/>
        <v>0</v>
      </c>
      <c r="BS115" s="7">
        <f t="shared" si="27"/>
        <v>1654533</v>
      </c>
      <c r="BT115" s="7">
        <f t="shared" si="28"/>
        <v>10612052</v>
      </c>
      <c r="BU115" s="83">
        <f t="shared" si="29"/>
        <v>1654533</v>
      </c>
      <c r="BV115" s="83"/>
    </row>
    <row r="116" spans="2:74" x14ac:dyDescent="0.25">
      <c r="B116" s="35" t="s">
        <v>128</v>
      </c>
      <c r="C116" s="7">
        <f>SUM(C107:C115)</f>
        <v>846775</v>
      </c>
      <c r="D116" s="7">
        <f>SUM(D107:D115)</f>
        <v>452819</v>
      </c>
      <c r="E116" s="7">
        <f t="shared" ref="E116:AZ116" si="65">SUM(E107:E115)</f>
        <v>39800</v>
      </c>
      <c r="F116" s="7">
        <f t="shared" si="65"/>
        <v>1741010</v>
      </c>
      <c r="G116" s="7">
        <f t="shared" si="65"/>
        <v>1137332</v>
      </c>
      <c r="H116" s="7">
        <f t="shared" si="65"/>
        <v>1140919</v>
      </c>
      <c r="I116" s="7">
        <f t="shared" si="65"/>
        <v>257383</v>
      </c>
      <c r="J116" s="7">
        <f t="shared" si="65"/>
        <v>212426</v>
      </c>
      <c r="K116" s="7">
        <f t="shared" si="65"/>
        <v>591944</v>
      </c>
      <c r="L116" s="7">
        <f t="shared" si="65"/>
        <v>6420408</v>
      </c>
      <c r="M116" s="215"/>
      <c r="N116" s="7">
        <f>SUM(N107:N115)</f>
        <v>481735</v>
      </c>
      <c r="O116" s="7">
        <f>SUM(O107:O115)</f>
        <v>1425566</v>
      </c>
      <c r="P116" s="7">
        <f>SUM(P107:P115)</f>
        <v>62411</v>
      </c>
      <c r="Q116" s="7">
        <f>SUM(Q107:Q115)</f>
        <v>156603</v>
      </c>
      <c r="R116" s="7">
        <f t="shared" ref="R116:Z116" si="66">SUM(R107:R115)</f>
        <v>121310</v>
      </c>
      <c r="S116" s="7">
        <f t="shared" si="66"/>
        <v>85299</v>
      </c>
      <c r="T116" s="7">
        <f t="shared" si="66"/>
        <v>156689</v>
      </c>
      <c r="U116" s="7">
        <f t="shared" si="66"/>
        <v>43856</v>
      </c>
      <c r="V116" s="7">
        <f t="shared" si="66"/>
        <v>245705</v>
      </c>
      <c r="W116" s="7"/>
      <c r="X116" s="7">
        <f t="shared" si="66"/>
        <v>2382589</v>
      </c>
      <c r="Y116" s="7">
        <f t="shared" si="66"/>
        <v>674208</v>
      </c>
      <c r="Z116" s="7">
        <f t="shared" si="66"/>
        <v>722588</v>
      </c>
      <c r="AA116" s="7">
        <f t="shared" si="65"/>
        <v>78280</v>
      </c>
      <c r="AB116" s="7">
        <f t="shared" si="65"/>
        <v>556221</v>
      </c>
      <c r="AC116" s="7">
        <f t="shared" si="65"/>
        <v>1837279</v>
      </c>
      <c r="AD116" s="7">
        <f t="shared" si="65"/>
        <v>42718</v>
      </c>
      <c r="AE116" s="7">
        <f t="shared" si="65"/>
        <v>185605</v>
      </c>
      <c r="AF116" s="7">
        <f t="shared" si="65"/>
        <v>244081</v>
      </c>
      <c r="AG116" s="7">
        <f t="shared" si="65"/>
        <v>902610</v>
      </c>
      <c r="AH116" s="7">
        <f t="shared" si="65"/>
        <v>127500</v>
      </c>
      <c r="AI116" s="7">
        <f t="shared" si="65"/>
        <v>0</v>
      </c>
      <c r="AJ116" s="7">
        <f t="shared" si="65"/>
        <v>72986</v>
      </c>
      <c r="AK116" s="7">
        <f t="shared" si="65"/>
        <v>337066</v>
      </c>
      <c r="AL116" s="7">
        <f t="shared" si="65"/>
        <v>29839</v>
      </c>
      <c r="AM116" s="7">
        <f t="shared" si="65"/>
        <v>45974</v>
      </c>
      <c r="AN116" s="7">
        <f t="shared" si="65"/>
        <v>49586</v>
      </c>
      <c r="AO116" s="7">
        <f t="shared" si="65"/>
        <v>447667</v>
      </c>
      <c r="AP116" s="7">
        <f t="shared" si="65"/>
        <v>290467</v>
      </c>
      <c r="AQ116" s="7">
        <f t="shared" si="65"/>
        <v>123702</v>
      </c>
      <c r="AR116" s="7">
        <f t="shared" si="65"/>
        <v>94264</v>
      </c>
      <c r="AS116" s="7">
        <f t="shared" si="65"/>
        <v>553491</v>
      </c>
      <c r="AT116" s="7">
        <f t="shared" si="65"/>
        <v>28592</v>
      </c>
      <c r="AU116" s="7">
        <f t="shared" si="65"/>
        <v>781095</v>
      </c>
      <c r="AV116" s="7">
        <f t="shared" si="65"/>
        <v>1268642</v>
      </c>
      <c r="AW116" s="7">
        <f t="shared" si="65"/>
        <v>1181679</v>
      </c>
      <c r="AX116" s="36">
        <f t="shared" si="65"/>
        <v>15837903</v>
      </c>
      <c r="AY116" s="215"/>
      <c r="AZ116" s="7">
        <f t="shared" si="65"/>
        <v>22430840</v>
      </c>
      <c r="BA116" s="215"/>
      <c r="BB116" s="7">
        <f t="shared" si="19"/>
        <v>44689151</v>
      </c>
      <c r="BC116" s="49">
        <f t="shared" si="20"/>
        <v>8781700</v>
      </c>
      <c r="BD116" s="5">
        <f>1245024-95040</f>
        <v>1149984</v>
      </c>
      <c r="BN116" s="8"/>
      <c r="BQ116" s="167">
        <f>SUM(BQ107:BQ115)</f>
        <v>6807705</v>
      </c>
      <c r="BR116" s="167">
        <f>SUM(BR107:BR115)</f>
        <v>8674375</v>
      </c>
      <c r="BS116" s="167">
        <f>SUM(BS107:BS115)</f>
        <v>15482080</v>
      </c>
      <c r="BT116" s="167">
        <f>SUM(BT107:BT115)</f>
        <v>35658953</v>
      </c>
      <c r="BU116" s="167">
        <f>SUM(BU107:BU115)</f>
        <v>13058729</v>
      </c>
    </row>
    <row r="117" spans="2:7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15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36"/>
      <c r="AY117" s="215"/>
      <c r="AZ117" s="7"/>
      <c r="BA117" s="215"/>
      <c r="BN117" s="8"/>
      <c r="BQ117" s="8"/>
      <c r="BU117" s="282" t="str">
        <f>IF(BU116='Comparison FY20 v FY22'!BP64,"OK","ERROR")</f>
        <v>ERROR</v>
      </c>
    </row>
    <row r="118" spans="2:74" x14ac:dyDescent="0.25"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30" spans="58:66" x14ac:dyDescent="0.25">
      <c r="BF130" s="38"/>
      <c r="BG130" s="38"/>
      <c r="BH130" s="38"/>
    </row>
    <row r="133" spans="58:66" x14ac:dyDescent="0.25">
      <c r="BI133" s="38"/>
      <c r="BJ133" s="38"/>
      <c r="BK133" s="38"/>
    </row>
    <row r="134" spans="58:66" x14ac:dyDescent="0.25">
      <c r="BL134" s="38"/>
      <c r="BM134" s="38"/>
      <c r="BN134" s="38"/>
    </row>
  </sheetData>
  <mergeCells count="3">
    <mergeCell ref="BD11:BH11"/>
    <mergeCell ref="BL70:BM70"/>
    <mergeCell ref="A79:B79"/>
  </mergeCells>
  <conditionalFormatting sqref="BU117">
    <cfRule type="containsText" dxfId="3" priority="1" operator="containsText" text="ERROR">
      <formula>NOT(ISERROR(SEARCH("ERROR",BU117)))</formula>
    </cfRule>
    <cfRule type="containsText" dxfId="2" priority="2" operator="containsText" text="OK">
      <formula>NOT(ISERROR(SEARCH("OK",BU117)))</formula>
    </cfRule>
  </conditionalFormatting>
  <printOptions horizontalCentered="1" verticalCentered="1"/>
  <pageMargins left="0" right="0" top="0.25" bottom="0.25" header="0.3" footer="0.3"/>
  <pageSetup scale="97" orientation="landscape" r:id="rId1"/>
  <colBreaks count="1" manualBreakCount="1">
    <brk id="5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DEC2-6DB2-4BDE-9D76-83BC8D692080}">
  <dimension ref="A1:BT146"/>
  <sheetViews>
    <sheetView zoomScaleNormal="100" zoomScaleSheetLayoutView="75" workbookViewId="0">
      <pane xSplit="2" ySplit="1" topLeftCell="AO96" activePane="bottomRight" state="frozen"/>
      <selection activeCell="G10" sqref="G10"/>
      <selection pane="topRight" activeCell="G10" sqref="G10"/>
      <selection pane="bottomLeft" activeCell="G10" sqref="G10"/>
      <selection pane="bottomRight" activeCell="A109" sqref="A109:XFD110"/>
    </sheetView>
  </sheetViews>
  <sheetFormatPr defaultColWidth="8.6640625" defaultRowHeight="13.2" x14ac:dyDescent="0.25"/>
  <cols>
    <col min="1" max="1" width="9.33203125" style="6" customWidth="1"/>
    <col min="2" max="2" width="33" style="5" customWidth="1"/>
    <col min="3" max="3" width="10.6640625" style="8" customWidth="1"/>
    <col min="4" max="4" width="14.6640625" style="8" customWidth="1"/>
    <col min="5" max="5" width="10.6640625" style="8" customWidth="1"/>
    <col min="6" max="6" width="12.6640625" style="8" customWidth="1"/>
    <col min="7" max="7" width="11.6640625" style="8" customWidth="1"/>
    <col min="8" max="8" width="13.6640625" style="8" customWidth="1"/>
    <col min="9" max="9" width="12.44140625" style="8" customWidth="1"/>
    <col min="10" max="10" width="11.6640625" style="8" customWidth="1"/>
    <col min="11" max="11" width="12.5546875" style="8" customWidth="1"/>
    <col min="12" max="12" width="13.44140625" style="8" customWidth="1"/>
    <col min="13" max="13" width="1.6640625" style="8" customWidth="1"/>
    <col min="14" max="22" width="11.6640625" style="8" customWidth="1"/>
    <col min="23" max="23" width="11.6640625" style="8" hidden="1" customWidth="1"/>
    <col min="24" max="24" width="11.6640625" style="8" customWidth="1"/>
    <col min="25" max="25" width="12.6640625" style="8" customWidth="1"/>
    <col min="26" max="26" width="11.6640625" style="8" customWidth="1"/>
    <col min="27" max="27" width="11.6640625" style="8" hidden="1" customWidth="1"/>
    <col min="28" max="29" width="12.6640625" style="8" customWidth="1"/>
    <col min="30" max="31" width="13" style="8" hidden="1" customWidth="1"/>
    <col min="32" max="33" width="12.6640625" style="8" customWidth="1"/>
    <col min="34" max="35" width="11.33203125" style="8" hidden="1" customWidth="1"/>
    <col min="36" max="41" width="12.6640625" style="8" customWidth="1"/>
    <col min="42" max="47" width="10.6640625" style="8" customWidth="1"/>
    <col min="48" max="49" width="12.44140625" style="8" customWidth="1"/>
    <col min="50" max="50" width="13.6640625" style="8" customWidth="1"/>
    <col min="51" max="51" width="1.6640625" style="8" customWidth="1"/>
    <col min="52" max="52" width="13.6640625" style="8" customWidth="1"/>
    <col min="53" max="53" width="1.6640625" style="8" customWidth="1"/>
    <col min="54" max="54" width="13.6640625" style="8" customWidth="1"/>
    <col min="55" max="55" width="1.6640625" style="8" customWidth="1"/>
    <col min="56" max="57" width="13.44140625" style="124" hidden="1" customWidth="1"/>
    <col min="58" max="58" width="2.33203125" style="8" hidden="1" customWidth="1"/>
    <col min="59" max="59" width="16.33203125" style="5" hidden="1" customWidth="1"/>
    <col min="60" max="60" width="11.44140625" style="5" hidden="1" customWidth="1"/>
    <col min="61" max="61" width="13.6640625" style="5" hidden="1" customWidth="1"/>
    <col min="62" max="62" width="15.6640625" style="5" hidden="1" customWidth="1"/>
    <col min="63" max="63" width="13.6640625" style="5" hidden="1" customWidth="1"/>
    <col min="64" max="64" width="13.6640625" style="8" hidden="1" customWidth="1"/>
    <col min="65" max="66" width="15.33203125" style="8" hidden="1" customWidth="1"/>
    <col min="67" max="67" width="13.33203125" style="143" hidden="1" customWidth="1"/>
    <col min="68" max="68" width="13.6640625" style="143" hidden="1" customWidth="1"/>
    <col min="69" max="69" width="16.6640625" style="5" customWidth="1"/>
    <col min="70" max="70" width="20.44140625" style="5" customWidth="1"/>
    <col min="71" max="71" width="16.33203125" style="5" customWidth="1"/>
    <col min="72" max="16384" width="8.6640625" style="5"/>
  </cols>
  <sheetData>
    <row r="1" spans="1:70" ht="72" x14ac:dyDescent="0.25">
      <c r="A1" s="14" t="s">
        <v>187</v>
      </c>
      <c r="B1" s="119" t="s">
        <v>188</v>
      </c>
      <c r="C1" s="2" t="s">
        <v>262</v>
      </c>
      <c r="D1" s="2" t="s">
        <v>263</v>
      </c>
      <c r="E1" s="2" t="s">
        <v>264</v>
      </c>
      <c r="F1" s="2" t="s">
        <v>265</v>
      </c>
      <c r="G1" s="2" t="s">
        <v>266</v>
      </c>
      <c r="H1" s="2" t="s">
        <v>267</v>
      </c>
      <c r="I1" s="2" t="s">
        <v>268</v>
      </c>
      <c r="J1" s="2" t="s">
        <v>269</v>
      </c>
      <c r="K1" s="2" t="s">
        <v>270</v>
      </c>
      <c r="L1" s="2" t="s">
        <v>271</v>
      </c>
      <c r="M1" s="3"/>
      <c r="N1" s="2" t="s">
        <v>272</v>
      </c>
      <c r="O1" s="2" t="s">
        <v>273</v>
      </c>
      <c r="P1" s="2" t="s">
        <v>274</v>
      </c>
      <c r="Q1" s="2" t="s">
        <v>275</v>
      </c>
      <c r="R1" s="2" t="s">
        <v>276</v>
      </c>
      <c r="S1" s="2" t="s">
        <v>277</v>
      </c>
      <c r="T1" s="2" t="s">
        <v>278</v>
      </c>
      <c r="U1" s="2" t="s">
        <v>279</v>
      </c>
      <c r="V1" s="2" t="s">
        <v>280</v>
      </c>
      <c r="W1" s="2" t="s">
        <v>353</v>
      </c>
      <c r="X1" s="2" t="s">
        <v>354</v>
      </c>
      <c r="Y1" s="2" t="s">
        <v>355</v>
      </c>
      <c r="Z1" s="2" t="s">
        <v>283</v>
      </c>
      <c r="AA1" s="2" t="s">
        <v>284</v>
      </c>
      <c r="AB1" s="2" t="s">
        <v>285</v>
      </c>
      <c r="AC1" s="2" t="s">
        <v>286</v>
      </c>
      <c r="AD1" s="2" t="s">
        <v>287</v>
      </c>
      <c r="AE1" s="2" t="s">
        <v>288</v>
      </c>
      <c r="AF1" s="2" t="s">
        <v>289</v>
      </c>
      <c r="AG1" s="2" t="s">
        <v>290</v>
      </c>
      <c r="AH1" s="2" t="s">
        <v>291</v>
      </c>
      <c r="AI1" s="2" t="s">
        <v>292</v>
      </c>
      <c r="AJ1" s="2" t="s">
        <v>293</v>
      </c>
      <c r="AK1" s="2" t="s">
        <v>294</v>
      </c>
      <c r="AL1" s="2" t="s">
        <v>295</v>
      </c>
      <c r="AM1" s="2" t="s">
        <v>296</v>
      </c>
      <c r="AN1" s="2" t="s">
        <v>297</v>
      </c>
      <c r="AO1" s="2" t="s">
        <v>298</v>
      </c>
      <c r="AP1" s="2" t="s">
        <v>299</v>
      </c>
      <c r="AQ1" s="2" t="s">
        <v>300</v>
      </c>
      <c r="AR1" s="2" t="s">
        <v>301</v>
      </c>
      <c r="AS1" s="2" t="s">
        <v>302</v>
      </c>
      <c r="AT1" s="2" t="s">
        <v>303</v>
      </c>
      <c r="AU1" s="2" t="s">
        <v>304</v>
      </c>
      <c r="AV1" s="2" t="s">
        <v>305</v>
      </c>
      <c r="AW1" s="2" t="s">
        <v>306</v>
      </c>
      <c r="AX1" s="2" t="s">
        <v>356</v>
      </c>
      <c r="AY1" s="3"/>
      <c r="AZ1" s="2" t="s">
        <v>308</v>
      </c>
      <c r="BA1" s="3"/>
      <c r="BB1" s="2" t="s">
        <v>357</v>
      </c>
      <c r="BC1" s="4"/>
      <c r="BD1" s="123" t="s">
        <v>358</v>
      </c>
      <c r="BE1" s="123" t="s">
        <v>359</v>
      </c>
      <c r="BF1" s="4"/>
      <c r="BL1" s="2" t="s">
        <v>360</v>
      </c>
      <c r="BM1" s="2" t="s">
        <v>361</v>
      </c>
      <c r="BN1" s="2" t="s">
        <v>194</v>
      </c>
    </row>
    <row r="2" spans="1:70" x14ac:dyDescent="0.25">
      <c r="A2" s="6">
        <v>40100</v>
      </c>
      <c r="B2" s="35" t="s">
        <v>37</v>
      </c>
      <c r="C2" s="75">
        <v>0</v>
      </c>
      <c r="D2" s="75">
        <v>0</v>
      </c>
      <c r="E2" s="75">
        <v>0</v>
      </c>
      <c r="F2" s="75">
        <v>0</v>
      </c>
      <c r="G2" s="75">
        <v>0</v>
      </c>
      <c r="H2" s="75">
        <v>0</v>
      </c>
      <c r="I2" s="75">
        <v>0</v>
      </c>
      <c r="J2" s="75">
        <v>0</v>
      </c>
      <c r="K2" s="75">
        <v>0</v>
      </c>
      <c r="L2" s="75">
        <f>SUM(C2:K2)</f>
        <v>0</v>
      </c>
      <c r="M2" s="75"/>
      <c r="N2" s="79">
        <v>0</v>
      </c>
      <c r="O2" s="79">
        <v>0</v>
      </c>
      <c r="P2" s="75">
        <v>0</v>
      </c>
      <c r="Q2" s="75">
        <v>0</v>
      </c>
      <c r="R2" s="79">
        <v>6745</v>
      </c>
      <c r="S2" s="79">
        <v>0</v>
      </c>
      <c r="T2" s="75">
        <v>1149</v>
      </c>
      <c r="U2" s="75">
        <v>0</v>
      </c>
      <c r="V2" s="79">
        <v>0</v>
      </c>
      <c r="W2" s="79">
        <v>0</v>
      </c>
      <c r="X2" s="112">
        <v>0</v>
      </c>
      <c r="Y2" s="112">
        <v>0</v>
      </c>
      <c r="Z2" s="79">
        <v>0</v>
      </c>
      <c r="AA2" s="110">
        <v>0</v>
      </c>
      <c r="AB2" s="112">
        <v>204708</v>
      </c>
      <c r="AC2" s="112">
        <v>0</v>
      </c>
      <c r="AD2" s="81">
        <v>0</v>
      </c>
      <c r="AE2" s="81">
        <v>0</v>
      </c>
      <c r="AF2" s="79">
        <v>68124</v>
      </c>
      <c r="AG2" s="114">
        <v>0</v>
      </c>
      <c r="AH2" s="82">
        <v>0</v>
      </c>
      <c r="AI2" s="82">
        <v>0</v>
      </c>
      <c r="AJ2" s="112">
        <v>29814</v>
      </c>
      <c r="AK2" s="112">
        <v>0</v>
      </c>
      <c r="AL2" s="79">
        <v>1398</v>
      </c>
      <c r="AM2" s="79">
        <v>0</v>
      </c>
      <c r="AN2" s="112">
        <v>17210</v>
      </c>
      <c r="AO2" s="116">
        <v>0</v>
      </c>
      <c r="AP2" s="79">
        <v>2564</v>
      </c>
      <c r="AQ2" s="79">
        <v>0</v>
      </c>
      <c r="AR2" s="112">
        <v>0</v>
      </c>
      <c r="AS2" s="112">
        <v>0</v>
      </c>
      <c r="AT2" s="79">
        <v>0</v>
      </c>
      <c r="AU2" s="79">
        <v>0</v>
      </c>
      <c r="AV2" s="112">
        <v>0</v>
      </c>
      <c r="AW2" s="112">
        <v>0</v>
      </c>
      <c r="AX2" s="75">
        <f>SUM(N2:AW2)</f>
        <v>331712</v>
      </c>
      <c r="AY2" s="75"/>
      <c r="AZ2" s="75">
        <v>248579</v>
      </c>
      <c r="BA2" s="75"/>
      <c r="BB2" s="83">
        <f>L2+AX2+AZ2</f>
        <v>580291</v>
      </c>
      <c r="BD2" s="124">
        <f>+AV2+AT2+AR2+AP2+AN2+AL2+AJ2+AH2+AF2+AD2+AB2+AA2+Z2+X2+V2+T2+R2+P2+N2</f>
        <v>331712</v>
      </c>
      <c r="BE2" s="124">
        <f>AW2+AU2+AS2+AQ2+AO2+AM2+AK2+AI2+AG2+AE2+AC2+Y2+U2+S2+Q2+O2</f>
        <v>0</v>
      </c>
      <c r="BL2" s="75"/>
      <c r="BM2" s="75"/>
      <c r="BN2" s="75"/>
    </row>
    <row r="3" spans="1:70" x14ac:dyDescent="0.25">
      <c r="A3" s="6">
        <v>40120</v>
      </c>
      <c r="B3" s="35" t="s">
        <v>38</v>
      </c>
      <c r="C3" s="75">
        <v>0</v>
      </c>
      <c r="D3" s="75">
        <v>0</v>
      </c>
      <c r="E3" s="75">
        <v>0</v>
      </c>
      <c r="F3" s="75">
        <v>0</v>
      </c>
      <c r="G3" s="75">
        <v>0</v>
      </c>
      <c r="H3" s="75">
        <v>0</v>
      </c>
      <c r="I3" s="75">
        <v>0</v>
      </c>
      <c r="J3" s="75">
        <v>0</v>
      </c>
      <c r="K3" s="75">
        <v>0</v>
      </c>
      <c r="L3" s="75">
        <f>SUM(C3:K3)</f>
        <v>0</v>
      </c>
      <c r="M3" s="75"/>
      <c r="N3" s="79">
        <f>2879072+49</f>
        <v>2879121</v>
      </c>
      <c r="O3" s="79">
        <v>0</v>
      </c>
      <c r="P3" s="75">
        <v>0</v>
      </c>
      <c r="Q3" s="75">
        <v>0</v>
      </c>
      <c r="R3" s="79">
        <v>318254</v>
      </c>
      <c r="S3" s="79">
        <v>0</v>
      </c>
      <c r="T3" s="75">
        <v>87027</v>
      </c>
      <c r="U3" s="75">
        <v>0</v>
      </c>
      <c r="V3" s="79">
        <v>50000</v>
      </c>
      <c r="W3" s="79">
        <v>0</v>
      </c>
      <c r="X3" s="112">
        <v>0</v>
      </c>
      <c r="Y3" s="112">
        <v>0</v>
      </c>
      <c r="Z3" s="79">
        <v>0</v>
      </c>
      <c r="AA3" s="110">
        <v>0</v>
      </c>
      <c r="AB3" s="112">
        <v>28218</v>
      </c>
      <c r="AC3" s="112">
        <v>0</v>
      </c>
      <c r="AD3" s="81">
        <v>0</v>
      </c>
      <c r="AE3" s="81">
        <v>0</v>
      </c>
      <c r="AF3" s="79">
        <v>20782</v>
      </c>
      <c r="AG3" s="114">
        <v>0</v>
      </c>
      <c r="AH3" s="82">
        <v>0</v>
      </c>
      <c r="AI3" s="82">
        <v>0</v>
      </c>
      <c r="AJ3" s="112">
        <v>0</v>
      </c>
      <c r="AK3" s="112">
        <v>0</v>
      </c>
      <c r="AL3" s="79">
        <v>0</v>
      </c>
      <c r="AM3" s="79">
        <v>0</v>
      </c>
      <c r="AN3" s="112">
        <v>0</v>
      </c>
      <c r="AO3" s="116">
        <v>0</v>
      </c>
      <c r="AP3" s="79">
        <v>75000</v>
      </c>
      <c r="AQ3" s="79">
        <v>0</v>
      </c>
      <c r="AR3" s="112">
        <v>0</v>
      </c>
      <c r="AS3" s="112">
        <v>0</v>
      </c>
      <c r="AT3" s="79">
        <v>0</v>
      </c>
      <c r="AU3" s="79">
        <v>0</v>
      </c>
      <c r="AV3" s="112">
        <v>0</v>
      </c>
      <c r="AW3" s="112">
        <v>0</v>
      </c>
      <c r="AX3" s="75">
        <f>SUM(N3:AW3)</f>
        <v>3458402</v>
      </c>
      <c r="AY3" s="75"/>
      <c r="AZ3" s="75">
        <v>0</v>
      </c>
      <c r="BA3" s="75"/>
      <c r="BB3" s="83">
        <f>L3+AX3+AZ3</f>
        <v>3458402</v>
      </c>
      <c r="BD3" s="124">
        <f>+AV3+AT3+AR3+AP3+AN3+AL3+AJ3+AH3+AF3+AD3+AB3+AA3+Z3+X3+V3+T3+R3+P3+N3</f>
        <v>3458402</v>
      </c>
      <c r="BE3" s="124">
        <f>AW3+AU3+AS3+AQ3+AO3+AM3+AK3+AI3+AG3+AE3+AC3+Y3+U3+S3+Q3+O3</f>
        <v>0</v>
      </c>
      <c r="BL3" s="75"/>
      <c r="BM3" s="75"/>
      <c r="BN3" s="75"/>
    </row>
    <row r="4" spans="1:70" x14ac:dyDescent="0.25">
      <c r="B4" s="6"/>
      <c r="C4" s="84"/>
      <c r="D4" s="84"/>
      <c r="E4" s="84"/>
      <c r="F4" s="84"/>
      <c r="G4" s="84"/>
      <c r="H4" s="84"/>
      <c r="I4" s="84"/>
      <c r="J4" s="84"/>
      <c r="K4" s="84"/>
      <c r="L4" s="84"/>
      <c r="M4" s="75"/>
      <c r="N4" s="85"/>
      <c r="O4" s="85"/>
      <c r="P4" s="84"/>
      <c r="Q4" s="84"/>
      <c r="R4" s="85"/>
      <c r="S4" s="85"/>
      <c r="T4" s="84"/>
      <c r="U4" s="84"/>
      <c r="V4" s="85"/>
      <c r="W4" s="85"/>
      <c r="X4" s="113"/>
      <c r="Y4" s="113"/>
      <c r="Z4" s="85"/>
      <c r="AA4" s="111"/>
      <c r="AB4" s="113"/>
      <c r="AC4" s="113"/>
      <c r="AD4" s="86"/>
      <c r="AE4" s="86"/>
      <c r="AF4" s="85"/>
      <c r="AG4" s="115"/>
      <c r="AH4" s="87"/>
      <c r="AI4" s="87"/>
      <c r="AJ4" s="113"/>
      <c r="AK4" s="113"/>
      <c r="AL4" s="85"/>
      <c r="AM4" s="85"/>
      <c r="AN4" s="113"/>
      <c r="AO4" s="117"/>
      <c r="AP4" s="85"/>
      <c r="AQ4" s="85"/>
      <c r="AR4" s="113"/>
      <c r="AS4" s="113"/>
      <c r="AT4" s="85"/>
      <c r="AU4" s="85"/>
      <c r="AV4" s="113"/>
      <c r="AW4" s="113"/>
      <c r="AX4" s="84"/>
      <c r="AY4" s="75"/>
      <c r="AZ4" s="84"/>
      <c r="BA4" s="75"/>
      <c r="BB4" s="88"/>
      <c r="BD4" s="125"/>
      <c r="BE4" s="125"/>
      <c r="BL4" s="84"/>
      <c r="BM4" s="84"/>
      <c r="BN4" s="84"/>
    </row>
    <row r="5" spans="1:70" s="13" customFormat="1" x14ac:dyDescent="0.25">
      <c r="A5" s="10"/>
      <c r="B5" s="120" t="s">
        <v>39</v>
      </c>
      <c r="C5" s="76">
        <f>SUM(C2:C4)</f>
        <v>0</v>
      </c>
      <c r="D5" s="76">
        <f>SUM(D2:D4)</f>
        <v>0</v>
      </c>
      <c r="E5" s="76">
        <f>SUM(E2:E4)</f>
        <v>0</v>
      </c>
      <c r="F5" s="76">
        <f t="shared" ref="F5:AZ5" si="0">SUM(F2:F4)</f>
        <v>0</v>
      </c>
      <c r="G5" s="76">
        <f t="shared" si="0"/>
        <v>0</v>
      </c>
      <c r="H5" s="76">
        <f t="shared" si="0"/>
        <v>0</v>
      </c>
      <c r="I5" s="76">
        <f t="shared" si="0"/>
        <v>0</v>
      </c>
      <c r="J5" s="76">
        <f t="shared" si="0"/>
        <v>0</v>
      </c>
      <c r="K5" s="76">
        <f t="shared" si="0"/>
        <v>0</v>
      </c>
      <c r="L5" s="76">
        <f t="shared" si="0"/>
        <v>0</v>
      </c>
      <c r="M5" s="89"/>
      <c r="N5" s="76">
        <f>SUM(N2:N4)</f>
        <v>2879121</v>
      </c>
      <c r="O5" s="76"/>
      <c r="P5" s="76">
        <f>SUM(P2:P4)</f>
        <v>0</v>
      </c>
      <c r="Q5" s="76"/>
      <c r="R5" s="76">
        <f t="shared" si="0"/>
        <v>324999</v>
      </c>
      <c r="S5" s="76"/>
      <c r="T5" s="76">
        <f t="shared" si="0"/>
        <v>88176</v>
      </c>
      <c r="U5" s="76"/>
      <c r="V5" s="76">
        <f t="shared" si="0"/>
        <v>50000</v>
      </c>
      <c r="W5" s="76">
        <f t="shared" si="0"/>
        <v>0</v>
      </c>
      <c r="X5" s="76">
        <f t="shared" si="0"/>
        <v>0</v>
      </c>
      <c r="Y5" s="76"/>
      <c r="Z5" s="76">
        <f t="shared" si="0"/>
        <v>0</v>
      </c>
      <c r="AA5" s="90">
        <f t="shared" si="0"/>
        <v>0</v>
      </c>
      <c r="AB5" s="76">
        <f t="shared" si="0"/>
        <v>232926</v>
      </c>
      <c r="AC5" s="76"/>
      <c r="AD5" s="76">
        <f t="shared" si="0"/>
        <v>0</v>
      </c>
      <c r="AE5" s="76"/>
      <c r="AF5" s="76">
        <f t="shared" si="0"/>
        <v>88906</v>
      </c>
      <c r="AG5" s="91">
        <f t="shared" si="0"/>
        <v>0</v>
      </c>
      <c r="AH5" s="76">
        <f t="shared" si="0"/>
        <v>0</v>
      </c>
      <c r="AI5" s="76"/>
      <c r="AJ5" s="76">
        <f t="shared" si="0"/>
        <v>29814</v>
      </c>
      <c r="AK5" s="76"/>
      <c r="AL5" s="76">
        <f t="shared" si="0"/>
        <v>1398</v>
      </c>
      <c r="AM5" s="76"/>
      <c r="AN5" s="76">
        <f t="shared" si="0"/>
        <v>17210</v>
      </c>
      <c r="AO5" s="91"/>
      <c r="AP5" s="76">
        <f t="shared" si="0"/>
        <v>77564</v>
      </c>
      <c r="AQ5" s="76"/>
      <c r="AR5" s="76">
        <f t="shared" si="0"/>
        <v>0</v>
      </c>
      <c r="AS5" s="76"/>
      <c r="AT5" s="76">
        <f t="shared" si="0"/>
        <v>0</v>
      </c>
      <c r="AU5" s="76"/>
      <c r="AV5" s="76">
        <f t="shared" si="0"/>
        <v>0</v>
      </c>
      <c r="AW5" s="76"/>
      <c r="AX5" s="76">
        <f t="shared" si="0"/>
        <v>3790114</v>
      </c>
      <c r="AY5" s="89"/>
      <c r="AZ5" s="76">
        <f t="shared" si="0"/>
        <v>248579</v>
      </c>
      <c r="BA5" s="89"/>
      <c r="BB5" s="76">
        <f>SUM(BB2:BB4)</f>
        <v>4038693</v>
      </c>
      <c r="BC5" s="12">
        <f>SUM(D5:K5)+AY5+BA5</f>
        <v>0</v>
      </c>
      <c r="BD5" s="11">
        <f>SUM(BD2:BD4)</f>
        <v>3790114</v>
      </c>
      <c r="BE5" s="11">
        <f>SUM(BE2:BE4)</f>
        <v>0</v>
      </c>
      <c r="BF5" s="12"/>
      <c r="BL5" s="76"/>
      <c r="BM5" s="76"/>
      <c r="BN5" s="76"/>
      <c r="BO5" s="144"/>
      <c r="BP5" s="144"/>
    </row>
    <row r="6" spans="1:70" x14ac:dyDescent="0.25"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92"/>
      <c r="AB6" s="75"/>
      <c r="AC6" s="75"/>
      <c r="AD6" s="75"/>
      <c r="AE6" s="75"/>
      <c r="AF6" s="75"/>
      <c r="AG6" s="93"/>
      <c r="AH6" s="75"/>
      <c r="AI6" s="75"/>
      <c r="AJ6" s="75"/>
      <c r="AK6" s="75"/>
      <c r="AL6" s="75"/>
      <c r="AM6" s="75"/>
      <c r="AN6" s="75"/>
      <c r="AO6" s="93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83"/>
      <c r="BL6" s="75"/>
      <c r="BM6" s="75"/>
      <c r="BN6" s="75"/>
    </row>
    <row r="7" spans="1:70" s="16" customFormat="1" x14ac:dyDescent="0.25">
      <c r="A7" s="1" t="s">
        <v>40</v>
      </c>
      <c r="B7" s="14"/>
      <c r="C7" s="77"/>
      <c r="D7" s="77"/>
      <c r="E7" s="77"/>
      <c r="F7" s="77"/>
      <c r="G7" s="77"/>
      <c r="H7" s="77"/>
      <c r="I7" s="77"/>
      <c r="J7" s="77"/>
      <c r="K7" s="77"/>
      <c r="L7" s="77"/>
      <c r="M7" s="9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95"/>
      <c r="AB7" s="77"/>
      <c r="AC7" s="77"/>
      <c r="AD7" s="77"/>
      <c r="AE7" s="77"/>
      <c r="AF7" s="77"/>
      <c r="AG7" s="96"/>
      <c r="AH7" s="77"/>
      <c r="AI7" s="77"/>
      <c r="AJ7" s="77"/>
      <c r="AK7" s="77"/>
      <c r="AL7" s="77"/>
      <c r="AM7" s="77"/>
      <c r="AN7" s="77"/>
      <c r="AO7" s="96"/>
      <c r="AP7" s="77"/>
      <c r="AQ7" s="77"/>
      <c r="AR7" s="77"/>
      <c r="AS7" s="77"/>
      <c r="AT7" s="77"/>
      <c r="AU7" s="77"/>
      <c r="AV7" s="77"/>
      <c r="AW7" s="77"/>
      <c r="AX7" s="77"/>
      <c r="AY7" s="94"/>
      <c r="AZ7" s="77"/>
      <c r="BA7" s="94"/>
      <c r="BB7" s="77"/>
      <c r="BC7" s="15"/>
      <c r="BD7" s="126"/>
      <c r="BE7" s="126"/>
      <c r="BF7" s="15"/>
      <c r="BL7" s="77"/>
      <c r="BM7" s="77"/>
      <c r="BN7" s="77"/>
      <c r="BO7" s="145" t="s">
        <v>195</v>
      </c>
      <c r="BP7" s="145" t="s">
        <v>196</v>
      </c>
    </row>
    <row r="8" spans="1:70" x14ac:dyDescent="0.25">
      <c r="A8" s="6">
        <v>50110</v>
      </c>
      <c r="B8" s="35" t="s">
        <v>183</v>
      </c>
      <c r="C8" s="75">
        <v>275000</v>
      </c>
      <c r="D8" s="75">
        <v>94752</v>
      </c>
      <c r="E8" s="75">
        <v>0</v>
      </c>
      <c r="F8" s="75">
        <v>939168</v>
      </c>
      <c r="G8" s="75">
        <v>367812</v>
      </c>
      <c r="H8" s="75">
        <v>251148</v>
      </c>
      <c r="I8" s="75">
        <v>387084</v>
      </c>
      <c r="J8" s="75">
        <v>106200</v>
      </c>
      <c r="K8" s="75">
        <v>217716</v>
      </c>
      <c r="L8" s="75">
        <f>+SUM(C8:K8)</f>
        <v>2638880</v>
      </c>
      <c r="M8" s="75"/>
      <c r="N8" s="79">
        <v>0</v>
      </c>
      <c r="O8" s="79">
        <v>765320</v>
      </c>
      <c r="P8" s="75">
        <v>0</v>
      </c>
      <c r="Q8" s="75">
        <v>0</v>
      </c>
      <c r="R8" s="79">
        <v>0</v>
      </c>
      <c r="S8" s="79">
        <v>79673</v>
      </c>
      <c r="T8" s="75">
        <v>0</v>
      </c>
      <c r="U8" s="75">
        <v>9580</v>
      </c>
      <c r="V8" s="79">
        <v>0</v>
      </c>
      <c r="W8" s="79">
        <v>0</v>
      </c>
      <c r="X8" s="112">
        <v>0</v>
      </c>
      <c r="Y8" s="112">
        <v>189816</v>
      </c>
      <c r="Z8" s="79">
        <v>273660</v>
      </c>
      <c r="AA8" s="80">
        <v>0</v>
      </c>
      <c r="AB8" s="112">
        <v>0</v>
      </c>
      <c r="AC8" s="112">
        <v>839206</v>
      </c>
      <c r="AD8" s="81">
        <v>0</v>
      </c>
      <c r="AE8" s="81">
        <v>0</v>
      </c>
      <c r="AF8" s="79">
        <v>0</v>
      </c>
      <c r="AG8" s="114">
        <v>535230</v>
      </c>
      <c r="AH8" s="82">
        <v>0</v>
      </c>
      <c r="AI8" s="82">
        <v>0</v>
      </c>
      <c r="AJ8" s="112">
        <v>0</v>
      </c>
      <c r="AK8" s="112">
        <v>180872</v>
      </c>
      <c r="AL8" s="79">
        <v>0</v>
      </c>
      <c r="AM8" s="79">
        <v>20149</v>
      </c>
      <c r="AN8" s="112">
        <v>0</v>
      </c>
      <c r="AO8" s="116">
        <v>178406</v>
      </c>
      <c r="AP8" s="79">
        <v>0</v>
      </c>
      <c r="AQ8" s="79">
        <v>80896</v>
      </c>
      <c r="AR8" s="112">
        <v>0</v>
      </c>
      <c r="AS8" s="112">
        <v>359712</v>
      </c>
      <c r="AT8" s="79">
        <v>0</v>
      </c>
      <c r="AU8" s="79">
        <f>598176+68019</f>
        <v>666195</v>
      </c>
      <c r="AV8" s="112">
        <v>0</v>
      </c>
      <c r="AW8" s="112">
        <f>720599+85252</f>
        <v>805851</v>
      </c>
      <c r="AX8" s="75">
        <f t="shared" ref="AX8:AX21" si="1">SUM(N8:AW8)</f>
        <v>4984566</v>
      </c>
      <c r="AY8" s="75"/>
      <c r="AZ8" s="75">
        <v>218928</v>
      </c>
      <c r="BA8" s="75"/>
      <c r="BB8" s="83">
        <f t="shared" ref="BB8:BB21" si="2">L8+AX8+AZ8</f>
        <v>7842374</v>
      </c>
      <c r="BD8" s="124">
        <f t="shared" ref="BD8:BD21" si="3">+AV8+AT8+AR8+AP8+AN8+AL8+AJ8+AH8+AF8+AD8+AB8+AA8+Z8+X8+V8+T8+R8+P8+N8</f>
        <v>273660</v>
      </c>
      <c r="BE8" s="124">
        <f t="shared" ref="BE8:BE21" si="4">AW8+AU8+AS8+AQ8+AO8+AM8+AK8+AI8+AG8+AE8+AC8+Y8+U8+S8+Q8+O8</f>
        <v>4710906</v>
      </c>
      <c r="BG8" s="17"/>
      <c r="BH8" s="17"/>
      <c r="BI8" s="17" t="s">
        <v>189</v>
      </c>
      <c r="BJ8" s="17"/>
      <c r="BK8" s="17"/>
      <c r="BL8" s="112">
        <v>273660</v>
      </c>
      <c r="BM8" s="75">
        <f>AX8-BL8</f>
        <v>4710906</v>
      </c>
      <c r="BN8" s="75">
        <f>((BM8*(1+BO8))+((BL8*(1+BP8))))</f>
        <v>5181212.04</v>
      </c>
      <c r="BO8" s="143">
        <v>0.04</v>
      </c>
      <c r="BP8" s="143">
        <v>0.03</v>
      </c>
      <c r="BQ8" s="17"/>
      <c r="BR8" s="17"/>
    </row>
    <row r="9" spans="1:70" x14ac:dyDescent="0.25">
      <c r="A9" s="6">
        <v>50120</v>
      </c>
      <c r="B9" s="35" t="s">
        <v>184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f t="shared" ref="L9:L21" si="5">+SUM(C9:K9)</f>
        <v>0</v>
      </c>
      <c r="M9" s="75"/>
      <c r="N9" s="79">
        <v>0</v>
      </c>
      <c r="O9" s="79">
        <v>76533</v>
      </c>
      <c r="P9" s="75">
        <v>0</v>
      </c>
      <c r="Q9" s="75">
        <v>0</v>
      </c>
      <c r="R9" s="79">
        <v>0</v>
      </c>
      <c r="S9" s="79">
        <v>7967</v>
      </c>
      <c r="T9" s="75">
        <v>0</v>
      </c>
      <c r="U9" s="75">
        <v>958</v>
      </c>
      <c r="V9" s="79">
        <v>0</v>
      </c>
      <c r="W9" s="79">
        <v>0</v>
      </c>
      <c r="X9" s="112">
        <v>0</v>
      </c>
      <c r="Y9" s="112">
        <v>3156</v>
      </c>
      <c r="Z9" s="79">
        <v>0</v>
      </c>
      <c r="AA9" s="80">
        <v>0</v>
      </c>
      <c r="AB9" s="112">
        <v>0</v>
      </c>
      <c r="AC9" s="112">
        <v>83922</v>
      </c>
      <c r="AD9" s="81">
        <v>0</v>
      </c>
      <c r="AE9" s="81">
        <v>0</v>
      </c>
      <c r="AF9" s="79">
        <v>0</v>
      </c>
      <c r="AG9" s="114">
        <v>53524</v>
      </c>
      <c r="AH9" s="82">
        <v>0</v>
      </c>
      <c r="AI9" s="82">
        <v>0</v>
      </c>
      <c r="AJ9" s="112">
        <v>0</v>
      </c>
      <c r="AK9" s="112">
        <v>18089</v>
      </c>
      <c r="AL9" s="79">
        <v>0</v>
      </c>
      <c r="AM9" s="79">
        <v>2014</v>
      </c>
      <c r="AN9" s="112">
        <v>0</v>
      </c>
      <c r="AO9" s="116">
        <v>17840</v>
      </c>
      <c r="AP9" s="79">
        <v>0</v>
      </c>
      <c r="AQ9" s="79">
        <v>8089</v>
      </c>
      <c r="AR9" s="112">
        <v>0</v>
      </c>
      <c r="AS9" s="112">
        <v>24372</v>
      </c>
      <c r="AT9" s="79">
        <v>0</v>
      </c>
      <c r="AU9" s="79">
        <f>38316+1938</f>
        <v>40254</v>
      </c>
      <c r="AV9" s="112">
        <v>0</v>
      </c>
      <c r="AW9" s="112">
        <f>52452+248</f>
        <v>52700</v>
      </c>
      <c r="AX9" s="75">
        <f t="shared" si="1"/>
        <v>389418</v>
      </c>
      <c r="AY9" s="75"/>
      <c r="AZ9" s="75">
        <v>0</v>
      </c>
      <c r="BA9" s="75"/>
      <c r="BB9" s="83">
        <f t="shared" si="2"/>
        <v>389418</v>
      </c>
      <c r="BD9" s="124">
        <f t="shared" si="3"/>
        <v>0</v>
      </c>
      <c r="BE9" s="124">
        <f t="shared" si="4"/>
        <v>389418</v>
      </c>
      <c r="BG9" s="17"/>
      <c r="BH9" s="17"/>
      <c r="BI9" s="131">
        <v>120.50309</v>
      </c>
      <c r="BJ9" s="17" t="s">
        <v>190</v>
      </c>
      <c r="BK9" s="17">
        <v>30600</v>
      </c>
      <c r="BL9" s="112">
        <v>0</v>
      </c>
      <c r="BM9" s="75">
        <f t="shared" ref="BM9:BM21" si="6">AX9-BL9</f>
        <v>389418</v>
      </c>
      <c r="BN9" s="75">
        <f t="shared" ref="BN9:BN21" si="7">((BM9*(1+BO9))+((BL9*(1+BP9))))</f>
        <v>404994.72000000003</v>
      </c>
      <c r="BO9" s="143">
        <v>0.04</v>
      </c>
      <c r="BP9" s="143">
        <v>0.03</v>
      </c>
      <c r="BQ9" s="17"/>
      <c r="BR9" s="17"/>
    </row>
    <row r="10" spans="1:70" hidden="1" x14ac:dyDescent="0.25">
      <c r="A10" s="6">
        <v>50130</v>
      </c>
      <c r="B10" s="35" t="s">
        <v>41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f t="shared" si="5"/>
        <v>0</v>
      </c>
      <c r="M10" s="75"/>
      <c r="N10" s="79">
        <v>0</v>
      </c>
      <c r="O10" s="79">
        <v>0</v>
      </c>
      <c r="P10" s="75">
        <v>0</v>
      </c>
      <c r="Q10" s="75">
        <v>0</v>
      </c>
      <c r="R10" s="79">
        <v>0</v>
      </c>
      <c r="S10" s="79">
        <v>0</v>
      </c>
      <c r="T10" s="75">
        <v>0</v>
      </c>
      <c r="U10" s="75">
        <v>0</v>
      </c>
      <c r="V10" s="79">
        <v>0</v>
      </c>
      <c r="W10" s="79"/>
      <c r="X10" s="112">
        <v>0</v>
      </c>
      <c r="Y10" s="112">
        <v>0</v>
      </c>
      <c r="Z10" s="79">
        <v>0</v>
      </c>
      <c r="AA10" s="80">
        <v>0</v>
      </c>
      <c r="AB10" s="112">
        <v>0</v>
      </c>
      <c r="AC10" s="112">
        <v>0</v>
      </c>
      <c r="AD10" s="81">
        <v>0</v>
      </c>
      <c r="AE10" s="81">
        <v>0</v>
      </c>
      <c r="AF10" s="79">
        <v>0</v>
      </c>
      <c r="AG10" s="114">
        <v>0</v>
      </c>
      <c r="AH10" s="82">
        <v>0</v>
      </c>
      <c r="AI10" s="82">
        <v>0</v>
      </c>
      <c r="AJ10" s="112">
        <v>0</v>
      </c>
      <c r="AK10" s="112">
        <v>0</v>
      </c>
      <c r="AL10" s="79">
        <v>0</v>
      </c>
      <c r="AM10" s="79">
        <v>0</v>
      </c>
      <c r="AN10" s="112">
        <v>0</v>
      </c>
      <c r="AO10" s="116">
        <v>0</v>
      </c>
      <c r="AP10" s="79">
        <v>0</v>
      </c>
      <c r="AQ10" s="79">
        <v>0</v>
      </c>
      <c r="AR10" s="112">
        <v>0</v>
      </c>
      <c r="AS10" s="112">
        <v>0</v>
      </c>
      <c r="AT10" s="79">
        <v>0</v>
      </c>
      <c r="AU10" s="79">
        <v>0</v>
      </c>
      <c r="AV10" s="112">
        <v>0</v>
      </c>
      <c r="AW10" s="112">
        <v>0</v>
      </c>
      <c r="AX10" s="75">
        <f t="shared" si="1"/>
        <v>0</v>
      </c>
      <c r="AY10" s="75"/>
      <c r="AZ10" s="75">
        <v>0</v>
      </c>
      <c r="BA10" s="75"/>
      <c r="BB10" s="83">
        <f t="shared" si="2"/>
        <v>0</v>
      </c>
      <c r="BD10" s="124">
        <f t="shared" si="3"/>
        <v>0</v>
      </c>
      <c r="BE10" s="124">
        <f t="shared" si="4"/>
        <v>0</v>
      </c>
      <c r="BI10" s="131"/>
      <c r="BJ10" s="17"/>
      <c r="BK10" s="17"/>
      <c r="BL10" s="112">
        <v>0</v>
      </c>
      <c r="BM10" s="75">
        <f t="shared" si="6"/>
        <v>0</v>
      </c>
      <c r="BN10" s="75">
        <f t="shared" si="7"/>
        <v>0</v>
      </c>
      <c r="BO10" s="143">
        <v>0.04</v>
      </c>
      <c r="BQ10" s="17"/>
      <c r="BR10" s="17"/>
    </row>
    <row r="11" spans="1:70" x14ac:dyDescent="0.25">
      <c r="A11" s="6">
        <v>50160</v>
      </c>
      <c r="B11" s="35" t="s">
        <v>42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f t="shared" si="5"/>
        <v>0</v>
      </c>
      <c r="M11" s="75"/>
      <c r="N11" s="79">
        <v>0</v>
      </c>
      <c r="O11" s="79">
        <v>53670</v>
      </c>
      <c r="P11" s="75">
        <v>0</v>
      </c>
      <c r="Q11" s="75">
        <v>0</v>
      </c>
      <c r="R11" s="79">
        <v>0</v>
      </c>
      <c r="S11" s="79">
        <v>5587</v>
      </c>
      <c r="T11" s="75">
        <v>0</v>
      </c>
      <c r="U11" s="75">
        <v>672</v>
      </c>
      <c r="V11" s="79">
        <v>0</v>
      </c>
      <c r="W11" s="79">
        <v>0</v>
      </c>
      <c r="X11" s="112">
        <v>0</v>
      </c>
      <c r="Y11" s="112">
        <v>0</v>
      </c>
      <c r="Z11" s="79">
        <v>0</v>
      </c>
      <c r="AA11" s="80">
        <v>0</v>
      </c>
      <c r="AB11" s="112">
        <v>0</v>
      </c>
      <c r="AC11" s="112">
        <v>60270</v>
      </c>
      <c r="AD11" s="81">
        <v>0</v>
      </c>
      <c r="AE11" s="81">
        <v>0</v>
      </c>
      <c r="AF11" s="79">
        <v>0</v>
      </c>
      <c r="AG11" s="114">
        <v>38748</v>
      </c>
      <c r="AH11" s="82">
        <v>0</v>
      </c>
      <c r="AI11" s="82">
        <v>0</v>
      </c>
      <c r="AJ11" s="112">
        <v>0</v>
      </c>
      <c r="AK11" s="112">
        <v>13096</v>
      </c>
      <c r="AL11" s="79">
        <v>0</v>
      </c>
      <c r="AM11" s="79">
        <v>1458</v>
      </c>
      <c r="AN11" s="112">
        <v>0</v>
      </c>
      <c r="AO11" s="116">
        <v>12914</v>
      </c>
      <c r="AP11" s="79">
        <v>0</v>
      </c>
      <c r="AQ11" s="79">
        <v>5856</v>
      </c>
      <c r="AR11" s="112">
        <v>0</v>
      </c>
      <c r="AS11" s="112">
        <v>0</v>
      </c>
      <c r="AT11" s="79">
        <v>0</v>
      </c>
      <c r="AU11" s="79">
        <v>0</v>
      </c>
      <c r="AV11" s="112">
        <v>0</v>
      </c>
      <c r="AW11" s="112">
        <v>0</v>
      </c>
      <c r="AX11" s="75">
        <f t="shared" si="1"/>
        <v>192271</v>
      </c>
      <c r="AY11" s="75"/>
      <c r="AZ11" s="75">
        <v>0</v>
      </c>
      <c r="BA11" s="75"/>
      <c r="BB11" s="83">
        <f t="shared" si="2"/>
        <v>192271</v>
      </c>
      <c r="BD11" s="124">
        <f t="shared" si="3"/>
        <v>0</v>
      </c>
      <c r="BE11" s="124">
        <f t="shared" si="4"/>
        <v>192271</v>
      </c>
      <c r="BG11" s="18"/>
      <c r="BH11" s="18"/>
      <c r="BI11" s="132"/>
      <c r="BJ11" s="17"/>
      <c r="BK11" s="17"/>
      <c r="BL11" s="112">
        <v>0</v>
      </c>
      <c r="BM11" s="75">
        <f t="shared" si="6"/>
        <v>192271</v>
      </c>
      <c r="BN11" s="75">
        <f t="shared" si="7"/>
        <v>199961.84</v>
      </c>
      <c r="BO11" s="143">
        <v>0.04</v>
      </c>
      <c r="BP11" s="143">
        <v>0.03</v>
      </c>
      <c r="BQ11" s="17"/>
      <c r="BR11" s="17"/>
    </row>
    <row r="12" spans="1:70" x14ac:dyDescent="0.25">
      <c r="A12" s="6">
        <v>50205</v>
      </c>
      <c r="B12" s="35" t="s">
        <v>43</v>
      </c>
      <c r="C12" s="75">
        <v>21041</v>
      </c>
      <c r="D12" s="75">
        <v>7248</v>
      </c>
      <c r="E12" s="75">
        <v>0</v>
      </c>
      <c r="F12" s="75">
        <v>71844</v>
      </c>
      <c r="G12" s="75">
        <v>28128</v>
      </c>
      <c r="H12" s="75">
        <v>19212</v>
      </c>
      <c r="I12" s="75">
        <v>29616</v>
      </c>
      <c r="J12" s="75">
        <v>9542</v>
      </c>
      <c r="K12" s="75">
        <v>16656</v>
      </c>
      <c r="L12" s="75">
        <f t="shared" si="5"/>
        <v>203287</v>
      </c>
      <c r="M12" s="75"/>
      <c r="N12" s="79">
        <v>0</v>
      </c>
      <c r="O12" s="79">
        <v>70877</v>
      </c>
      <c r="P12" s="75">
        <v>0</v>
      </c>
      <c r="Q12" s="75">
        <v>0</v>
      </c>
      <c r="R12" s="79">
        <v>0</v>
      </c>
      <c r="S12" s="79">
        <v>7379</v>
      </c>
      <c r="T12" s="75">
        <v>0</v>
      </c>
      <c r="U12" s="75">
        <v>887</v>
      </c>
      <c r="V12" s="79">
        <v>0</v>
      </c>
      <c r="W12" s="79">
        <v>0</v>
      </c>
      <c r="X12" s="112">
        <v>0</v>
      </c>
      <c r="Y12" s="112">
        <v>14760</v>
      </c>
      <c r="Z12" s="79">
        <v>20940</v>
      </c>
      <c r="AA12" s="80">
        <v>0</v>
      </c>
      <c r="AB12" s="112">
        <v>0</v>
      </c>
      <c r="AC12" s="112">
        <v>79574</v>
      </c>
      <c r="AD12" s="81">
        <v>0</v>
      </c>
      <c r="AE12" s="81">
        <v>0</v>
      </c>
      <c r="AF12" s="79">
        <v>0</v>
      </c>
      <c r="AG12" s="114">
        <v>51176</v>
      </c>
      <c r="AH12" s="82">
        <v>0</v>
      </c>
      <c r="AI12" s="82">
        <v>0</v>
      </c>
      <c r="AJ12" s="112">
        <v>0</v>
      </c>
      <c r="AK12" s="112">
        <v>17294</v>
      </c>
      <c r="AL12" s="79">
        <v>0</v>
      </c>
      <c r="AM12" s="79">
        <v>1925</v>
      </c>
      <c r="AN12" s="112">
        <v>0</v>
      </c>
      <c r="AO12" s="116">
        <v>17058</v>
      </c>
      <c r="AP12" s="79">
        <v>0</v>
      </c>
      <c r="AQ12" s="79">
        <v>7736</v>
      </c>
      <c r="AR12" s="112">
        <v>0</v>
      </c>
      <c r="AS12" s="112">
        <v>29376</v>
      </c>
      <c r="AT12" s="79">
        <v>0</v>
      </c>
      <c r="AU12" s="79">
        <f>48696+5491</f>
        <v>54187</v>
      </c>
      <c r="AV12" s="112">
        <v>0</v>
      </c>
      <c r="AW12" s="112">
        <f>59136+6754</f>
        <v>65890</v>
      </c>
      <c r="AX12" s="75">
        <f t="shared" si="1"/>
        <v>439059</v>
      </c>
      <c r="AY12" s="75"/>
      <c r="AZ12" s="75">
        <v>16752</v>
      </c>
      <c r="BA12" s="75"/>
      <c r="BB12" s="83">
        <f t="shared" si="2"/>
        <v>659098</v>
      </c>
      <c r="BD12" s="124">
        <f t="shared" si="3"/>
        <v>20940</v>
      </c>
      <c r="BE12" s="124">
        <f t="shared" si="4"/>
        <v>418119</v>
      </c>
      <c r="BI12" s="131"/>
      <c r="BJ12" s="17"/>
      <c r="BK12" s="17"/>
      <c r="BL12" s="112">
        <v>20940</v>
      </c>
      <c r="BM12" s="75">
        <f t="shared" si="6"/>
        <v>418119</v>
      </c>
      <c r="BN12" s="75">
        <f>SUM(BN8:BN11)*BP12</f>
        <v>442641.89789999998</v>
      </c>
      <c r="BO12" s="153">
        <v>7.6499999999999999E-2</v>
      </c>
      <c r="BP12" s="153">
        <v>7.6499999999999999E-2</v>
      </c>
      <c r="BQ12" s="17"/>
      <c r="BR12" s="17"/>
    </row>
    <row r="13" spans="1:70" x14ac:dyDescent="0.25">
      <c r="A13" s="6">
        <v>50210</v>
      </c>
      <c r="B13" s="35" t="s">
        <v>44</v>
      </c>
      <c r="C13" s="75">
        <v>17168</v>
      </c>
      <c r="D13" s="75">
        <v>5913</v>
      </c>
      <c r="E13" s="75">
        <v>0</v>
      </c>
      <c r="F13" s="75">
        <v>58605</v>
      </c>
      <c r="G13" s="75">
        <v>22956</v>
      </c>
      <c r="H13" s="75">
        <v>15672</v>
      </c>
      <c r="I13" s="75">
        <v>24159</v>
      </c>
      <c r="J13" s="75">
        <v>5336</v>
      </c>
      <c r="K13" s="75">
        <v>13584</v>
      </c>
      <c r="L13" s="75">
        <f t="shared" si="5"/>
        <v>163393</v>
      </c>
      <c r="M13" s="75"/>
      <c r="N13" s="79">
        <v>0</v>
      </c>
      <c r="O13" s="79">
        <v>0</v>
      </c>
      <c r="P13" s="75">
        <v>0</v>
      </c>
      <c r="Q13" s="75">
        <v>0</v>
      </c>
      <c r="R13" s="79">
        <v>0</v>
      </c>
      <c r="S13" s="79">
        <v>0</v>
      </c>
      <c r="T13" s="75">
        <v>0</v>
      </c>
      <c r="U13" s="75">
        <v>0</v>
      </c>
      <c r="V13" s="79">
        <v>0</v>
      </c>
      <c r="W13" s="79">
        <v>0</v>
      </c>
      <c r="X13" s="112">
        <v>0</v>
      </c>
      <c r="Y13" s="112">
        <v>3600</v>
      </c>
      <c r="Z13" s="79">
        <v>17079</v>
      </c>
      <c r="AA13" s="80">
        <v>0</v>
      </c>
      <c r="AB13" s="112">
        <v>0</v>
      </c>
      <c r="AC13" s="112">
        <v>0</v>
      </c>
      <c r="AD13" s="81">
        <v>0</v>
      </c>
      <c r="AE13" s="81">
        <v>0</v>
      </c>
      <c r="AF13" s="79">
        <v>0</v>
      </c>
      <c r="AG13" s="114">
        <v>0</v>
      </c>
      <c r="AH13" s="82">
        <v>0</v>
      </c>
      <c r="AI13" s="82">
        <v>0</v>
      </c>
      <c r="AJ13" s="112">
        <v>0</v>
      </c>
      <c r="AK13" s="112">
        <v>0</v>
      </c>
      <c r="AL13" s="79">
        <v>0</v>
      </c>
      <c r="AM13" s="79">
        <v>0</v>
      </c>
      <c r="AN13" s="112">
        <v>0</v>
      </c>
      <c r="AO13" s="116">
        <v>0</v>
      </c>
      <c r="AP13" s="79">
        <v>0</v>
      </c>
      <c r="AQ13" s="79">
        <v>0</v>
      </c>
      <c r="AR13" s="112">
        <v>0</v>
      </c>
      <c r="AS13" s="112">
        <v>1200</v>
      </c>
      <c r="AT13" s="79">
        <v>0</v>
      </c>
      <c r="AU13" s="79">
        <v>12000</v>
      </c>
      <c r="AV13" s="112">
        <v>0</v>
      </c>
      <c r="AW13" s="112">
        <v>15600</v>
      </c>
      <c r="AX13" s="75">
        <f t="shared" si="1"/>
        <v>49479</v>
      </c>
      <c r="AY13" s="75"/>
      <c r="AZ13" s="75">
        <v>13665</v>
      </c>
      <c r="BA13" s="75"/>
      <c r="BB13" s="83">
        <f t="shared" si="2"/>
        <v>226537</v>
      </c>
      <c r="BD13" s="124">
        <f t="shared" si="3"/>
        <v>17079</v>
      </c>
      <c r="BE13" s="124">
        <f t="shared" si="4"/>
        <v>32400</v>
      </c>
      <c r="BI13" s="131"/>
      <c r="BJ13" s="17"/>
      <c r="BK13" s="17"/>
      <c r="BL13" s="112">
        <v>17079</v>
      </c>
      <c r="BM13" s="75">
        <f t="shared" si="6"/>
        <v>32400</v>
      </c>
      <c r="BN13" s="75">
        <v>52531</v>
      </c>
      <c r="BO13" s="143">
        <v>5.1499999999999997E-2</v>
      </c>
      <c r="BP13" s="153">
        <v>6.5500000000000003E-2</v>
      </c>
      <c r="BQ13" s="17"/>
      <c r="BR13" s="17"/>
    </row>
    <row r="14" spans="1:70" x14ac:dyDescent="0.25">
      <c r="A14" s="6">
        <v>50215</v>
      </c>
      <c r="B14" s="35" t="s">
        <v>45</v>
      </c>
      <c r="C14" s="75">
        <v>22080</v>
      </c>
      <c r="D14" s="75">
        <v>27408</v>
      </c>
      <c r="E14" s="75">
        <v>0</v>
      </c>
      <c r="F14" s="75">
        <v>183180</v>
      </c>
      <c r="G14" s="75">
        <v>52668</v>
      </c>
      <c r="H14" s="75">
        <v>52668</v>
      </c>
      <c r="I14" s="75">
        <v>47328</v>
      </c>
      <c r="J14" s="75">
        <v>10068</v>
      </c>
      <c r="K14" s="75">
        <v>30216</v>
      </c>
      <c r="L14" s="75">
        <f t="shared" si="5"/>
        <v>425616</v>
      </c>
      <c r="M14" s="75"/>
      <c r="N14" s="79">
        <v>0</v>
      </c>
      <c r="O14" s="79">
        <v>236212</v>
      </c>
      <c r="P14" s="75">
        <v>0</v>
      </c>
      <c r="Q14" s="75">
        <v>0</v>
      </c>
      <c r="R14" s="79">
        <v>0</v>
      </c>
      <c r="S14" s="79">
        <v>24591</v>
      </c>
      <c r="T14" s="75">
        <v>0</v>
      </c>
      <c r="U14" s="75">
        <v>2957</v>
      </c>
      <c r="V14" s="79">
        <v>0</v>
      </c>
      <c r="W14" s="79">
        <v>0</v>
      </c>
      <c r="X14" s="112">
        <v>0</v>
      </c>
      <c r="Y14" s="112">
        <v>54480</v>
      </c>
      <c r="Z14" s="79">
        <v>52668</v>
      </c>
      <c r="AA14" s="80">
        <v>0</v>
      </c>
      <c r="AB14" s="112">
        <v>0</v>
      </c>
      <c r="AC14" s="112">
        <v>265192</v>
      </c>
      <c r="AD14" s="81">
        <v>0</v>
      </c>
      <c r="AE14" s="81">
        <v>0</v>
      </c>
      <c r="AF14" s="79">
        <v>0</v>
      </c>
      <c r="AG14" s="114">
        <v>170549</v>
      </c>
      <c r="AH14" s="82">
        <v>0</v>
      </c>
      <c r="AI14" s="82">
        <v>0</v>
      </c>
      <c r="AJ14" s="112">
        <v>0</v>
      </c>
      <c r="AK14" s="112">
        <v>57634</v>
      </c>
      <c r="AL14" s="79">
        <v>0</v>
      </c>
      <c r="AM14" s="79">
        <v>6421</v>
      </c>
      <c r="AN14" s="112">
        <v>0</v>
      </c>
      <c r="AO14" s="116">
        <v>56848</v>
      </c>
      <c r="AP14" s="79">
        <v>0</v>
      </c>
      <c r="AQ14" s="79">
        <v>25777</v>
      </c>
      <c r="AR14" s="112">
        <v>0</v>
      </c>
      <c r="AS14" s="112">
        <v>135336</v>
      </c>
      <c r="AT14" s="79">
        <v>0</v>
      </c>
      <c r="AU14" s="79">
        <v>193872</v>
      </c>
      <c r="AV14" s="112">
        <v>0</v>
      </c>
      <c r="AW14" s="112">
        <v>243408</v>
      </c>
      <c r="AX14" s="75">
        <f t="shared" si="1"/>
        <v>1525945</v>
      </c>
      <c r="AY14" s="75"/>
      <c r="AZ14" s="75">
        <v>32520</v>
      </c>
      <c r="BA14" s="75"/>
      <c r="BB14" s="83">
        <f t="shared" si="2"/>
        <v>1984081</v>
      </c>
      <c r="BD14" s="124">
        <f t="shared" si="3"/>
        <v>52668</v>
      </c>
      <c r="BE14" s="124">
        <f t="shared" si="4"/>
        <v>1473277</v>
      </c>
      <c r="BG14" s="6"/>
      <c r="BH14" s="6"/>
      <c r="BI14" s="133"/>
      <c r="BJ14" s="17"/>
      <c r="BK14" s="17"/>
      <c r="BL14" s="112">
        <v>52668</v>
      </c>
      <c r="BM14" s="75">
        <f t="shared" si="6"/>
        <v>1473277</v>
      </c>
      <c r="BN14" s="75">
        <f t="shared" si="7"/>
        <v>1678539.5000000002</v>
      </c>
      <c r="BO14" s="143">
        <v>0.1</v>
      </c>
      <c r="BP14" s="143">
        <v>0.1</v>
      </c>
      <c r="BQ14" s="17"/>
      <c r="BR14" s="17"/>
    </row>
    <row r="15" spans="1:70" x14ac:dyDescent="0.25">
      <c r="A15" s="6">
        <v>50225</v>
      </c>
      <c r="B15" s="35" t="s">
        <v>46</v>
      </c>
      <c r="C15" s="75">
        <v>1935</v>
      </c>
      <c r="D15" s="75">
        <v>669</v>
      </c>
      <c r="E15" s="75">
        <v>0</v>
      </c>
      <c r="F15" s="75">
        <v>6663</v>
      </c>
      <c r="G15" s="75">
        <v>2613</v>
      </c>
      <c r="H15" s="75">
        <v>1782</v>
      </c>
      <c r="I15" s="75">
        <v>2745</v>
      </c>
      <c r="J15" s="75">
        <v>617</v>
      </c>
      <c r="K15" s="75">
        <v>1440</v>
      </c>
      <c r="L15" s="75">
        <f t="shared" si="5"/>
        <v>18464</v>
      </c>
      <c r="M15" s="75"/>
      <c r="N15" s="79">
        <v>0</v>
      </c>
      <c r="O15" s="79">
        <v>5441</v>
      </c>
      <c r="P15" s="75">
        <v>0</v>
      </c>
      <c r="Q15" s="75">
        <v>0</v>
      </c>
      <c r="R15" s="79">
        <v>0</v>
      </c>
      <c r="S15" s="79">
        <v>564</v>
      </c>
      <c r="T15" s="75">
        <v>0</v>
      </c>
      <c r="U15" s="75">
        <v>68</v>
      </c>
      <c r="V15" s="79">
        <v>0</v>
      </c>
      <c r="W15" s="79">
        <v>0</v>
      </c>
      <c r="X15" s="112">
        <v>0</v>
      </c>
      <c r="Y15" s="112">
        <v>5604</v>
      </c>
      <c r="Z15" s="79">
        <v>1947</v>
      </c>
      <c r="AA15" s="80">
        <v>0</v>
      </c>
      <c r="AB15" s="112">
        <v>0</v>
      </c>
      <c r="AC15" s="112">
        <v>6109</v>
      </c>
      <c r="AD15" s="81">
        <v>0</v>
      </c>
      <c r="AE15" s="81">
        <v>0</v>
      </c>
      <c r="AF15" s="79">
        <v>0</v>
      </c>
      <c r="AG15" s="114">
        <v>3924</v>
      </c>
      <c r="AH15" s="82">
        <v>0</v>
      </c>
      <c r="AI15" s="82">
        <v>0</v>
      </c>
      <c r="AJ15" s="112">
        <v>0</v>
      </c>
      <c r="AK15" s="112">
        <v>1327</v>
      </c>
      <c r="AL15" s="79">
        <v>0</v>
      </c>
      <c r="AM15" s="79">
        <v>149</v>
      </c>
      <c r="AN15" s="112">
        <v>0</v>
      </c>
      <c r="AO15" s="116">
        <v>1306</v>
      </c>
      <c r="AP15" s="79">
        <v>0</v>
      </c>
      <c r="AQ15" s="79">
        <v>592</v>
      </c>
      <c r="AR15" s="112">
        <v>0</v>
      </c>
      <c r="AS15" s="112">
        <v>11151</v>
      </c>
      <c r="AT15" s="79">
        <v>0</v>
      </c>
      <c r="AU15" s="79">
        <v>18471</v>
      </c>
      <c r="AV15" s="112">
        <v>0</v>
      </c>
      <c r="AW15" s="112">
        <f>22434+1061</f>
        <v>23495</v>
      </c>
      <c r="AX15" s="75">
        <f t="shared" si="1"/>
        <v>80148</v>
      </c>
      <c r="AY15" s="75"/>
      <c r="AZ15" s="75">
        <v>1548</v>
      </c>
      <c r="BA15" s="75"/>
      <c r="BB15" s="83">
        <f t="shared" si="2"/>
        <v>100160</v>
      </c>
      <c r="BD15" s="124">
        <f t="shared" si="3"/>
        <v>1947</v>
      </c>
      <c r="BE15" s="124">
        <f t="shared" si="4"/>
        <v>78201</v>
      </c>
      <c r="BG15" s="19"/>
      <c r="BH15" s="20"/>
      <c r="BI15" s="134"/>
      <c r="BJ15" s="17"/>
      <c r="BK15" s="17"/>
      <c r="BL15" s="112">
        <v>1947</v>
      </c>
      <c r="BM15" s="75">
        <f t="shared" si="6"/>
        <v>78201</v>
      </c>
      <c r="BN15" s="75">
        <f t="shared" si="7"/>
        <v>84155.400000000009</v>
      </c>
      <c r="BO15" s="146">
        <v>0.05</v>
      </c>
      <c r="BP15" s="146">
        <v>0.05</v>
      </c>
      <c r="BQ15" s="22"/>
      <c r="BR15" s="22"/>
    </row>
    <row r="16" spans="1:70" x14ac:dyDescent="0.25">
      <c r="A16" s="6">
        <v>50230</v>
      </c>
      <c r="B16" s="35" t="s">
        <v>47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f t="shared" si="5"/>
        <v>0</v>
      </c>
      <c r="M16" s="75"/>
      <c r="N16" s="79">
        <v>0</v>
      </c>
      <c r="O16" s="79">
        <v>0</v>
      </c>
      <c r="P16" s="75">
        <v>0</v>
      </c>
      <c r="Q16" s="75">
        <v>0</v>
      </c>
      <c r="R16" s="79">
        <v>0</v>
      </c>
      <c r="S16" s="79">
        <v>0</v>
      </c>
      <c r="T16" s="75">
        <v>0</v>
      </c>
      <c r="U16" s="75">
        <v>0</v>
      </c>
      <c r="V16" s="79">
        <v>0</v>
      </c>
      <c r="W16" s="79">
        <v>0</v>
      </c>
      <c r="X16" s="112">
        <v>0</v>
      </c>
      <c r="Y16" s="112">
        <v>1242</v>
      </c>
      <c r="Z16" s="79">
        <v>0</v>
      </c>
      <c r="AA16" s="80">
        <v>0</v>
      </c>
      <c r="AB16" s="112">
        <v>0</v>
      </c>
      <c r="AC16" s="112">
        <v>0</v>
      </c>
      <c r="AD16" s="81">
        <v>0</v>
      </c>
      <c r="AE16" s="81">
        <v>0</v>
      </c>
      <c r="AF16" s="79">
        <v>0</v>
      </c>
      <c r="AG16" s="114">
        <v>0</v>
      </c>
      <c r="AH16" s="82">
        <v>0</v>
      </c>
      <c r="AI16" s="82">
        <v>0</v>
      </c>
      <c r="AJ16" s="112">
        <v>0</v>
      </c>
      <c r="AK16" s="112">
        <v>0</v>
      </c>
      <c r="AL16" s="79">
        <v>0</v>
      </c>
      <c r="AM16" s="79">
        <v>0</v>
      </c>
      <c r="AN16" s="112">
        <v>0</v>
      </c>
      <c r="AO16" s="116">
        <v>0</v>
      </c>
      <c r="AP16" s="79">
        <v>0</v>
      </c>
      <c r="AQ16" s="79">
        <v>0</v>
      </c>
      <c r="AR16" s="112">
        <v>0</v>
      </c>
      <c r="AS16" s="112">
        <v>2475</v>
      </c>
      <c r="AT16" s="79">
        <v>0</v>
      </c>
      <c r="AU16" s="79">
        <v>4104</v>
      </c>
      <c r="AV16" s="112">
        <v>0</v>
      </c>
      <c r="AW16" s="112">
        <f>4986+130</f>
        <v>5116</v>
      </c>
      <c r="AX16" s="75">
        <f t="shared" si="1"/>
        <v>12937</v>
      </c>
      <c r="AY16" s="75"/>
      <c r="AZ16" s="75">
        <v>0</v>
      </c>
      <c r="BA16" s="75"/>
      <c r="BB16" s="83">
        <f t="shared" si="2"/>
        <v>12937</v>
      </c>
      <c r="BD16" s="124">
        <f t="shared" si="3"/>
        <v>0</v>
      </c>
      <c r="BE16" s="124">
        <f t="shared" si="4"/>
        <v>12937</v>
      </c>
      <c r="BG16" s="19"/>
      <c r="BH16" s="20"/>
      <c r="BI16" s="134"/>
      <c r="BL16" s="112">
        <v>0</v>
      </c>
      <c r="BM16" s="75">
        <f t="shared" si="6"/>
        <v>12937</v>
      </c>
      <c r="BN16" s="75">
        <f t="shared" si="7"/>
        <v>13066.37</v>
      </c>
      <c r="BO16" s="143">
        <v>0.01</v>
      </c>
    </row>
    <row r="17" spans="1:72" x14ac:dyDescent="0.25">
      <c r="A17" s="6">
        <v>50231</v>
      </c>
      <c r="B17" s="35" t="s">
        <v>48</v>
      </c>
      <c r="C17" s="75">
        <v>1080</v>
      </c>
      <c r="D17" s="75">
        <v>1068</v>
      </c>
      <c r="E17" s="75">
        <v>0</v>
      </c>
      <c r="F17" s="75">
        <v>9096</v>
      </c>
      <c r="G17" s="75">
        <v>3600</v>
      </c>
      <c r="H17" s="75">
        <v>2760</v>
      </c>
      <c r="I17" s="75">
        <v>2748</v>
      </c>
      <c r="J17" s="75">
        <v>912</v>
      </c>
      <c r="K17" s="75">
        <v>2316</v>
      </c>
      <c r="L17" s="75">
        <f t="shared" si="5"/>
        <v>23580</v>
      </c>
      <c r="M17" s="75"/>
      <c r="N17" s="79">
        <v>0</v>
      </c>
      <c r="O17" s="79">
        <v>12818</v>
      </c>
      <c r="P17" s="75">
        <v>0</v>
      </c>
      <c r="Q17" s="75">
        <v>0</v>
      </c>
      <c r="R17" s="79">
        <v>0</v>
      </c>
      <c r="S17" s="79">
        <v>1334</v>
      </c>
      <c r="T17" s="75">
        <v>0</v>
      </c>
      <c r="U17" s="75">
        <v>160</v>
      </c>
      <c r="V17" s="79">
        <v>0</v>
      </c>
      <c r="W17" s="79">
        <v>0</v>
      </c>
      <c r="X17" s="112">
        <v>0</v>
      </c>
      <c r="Y17" s="112">
        <v>2664</v>
      </c>
      <c r="Z17" s="79">
        <v>2844</v>
      </c>
      <c r="AA17" s="80">
        <v>0</v>
      </c>
      <c r="AB17" s="112">
        <v>0</v>
      </c>
      <c r="AC17" s="112">
        <v>14391</v>
      </c>
      <c r="AD17" s="81">
        <v>0</v>
      </c>
      <c r="AE17" s="81">
        <v>0</v>
      </c>
      <c r="AF17" s="79">
        <v>0</v>
      </c>
      <c r="AG17" s="114">
        <v>9256</v>
      </c>
      <c r="AH17" s="82">
        <v>0</v>
      </c>
      <c r="AI17" s="82">
        <v>0</v>
      </c>
      <c r="AJ17" s="112">
        <v>0</v>
      </c>
      <c r="AK17" s="112">
        <v>3127</v>
      </c>
      <c r="AL17" s="79">
        <v>0</v>
      </c>
      <c r="AM17" s="79">
        <v>348</v>
      </c>
      <c r="AN17" s="112">
        <v>0</v>
      </c>
      <c r="AO17" s="116">
        <v>3085</v>
      </c>
      <c r="AP17" s="79">
        <v>0</v>
      </c>
      <c r="AQ17" s="79">
        <v>1397</v>
      </c>
      <c r="AR17" s="112">
        <v>0</v>
      </c>
      <c r="AS17" s="112">
        <v>6600</v>
      </c>
      <c r="AT17" s="79">
        <v>0</v>
      </c>
      <c r="AU17" s="79">
        <v>9828</v>
      </c>
      <c r="AV17" s="112">
        <v>0</v>
      </c>
      <c r="AW17" s="112">
        <v>11748</v>
      </c>
      <c r="AX17" s="75">
        <f t="shared" si="1"/>
        <v>79600</v>
      </c>
      <c r="AY17" s="75"/>
      <c r="AZ17" s="75">
        <v>2028</v>
      </c>
      <c r="BA17" s="75"/>
      <c r="BB17" s="83">
        <f t="shared" si="2"/>
        <v>105208</v>
      </c>
      <c r="BD17" s="124">
        <f t="shared" si="3"/>
        <v>2844</v>
      </c>
      <c r="BE17" s="124">
        <f t="shared" si="4"/>
        <v>76756</v>
      </c>
      <c r="BG17" s="23"/>
      <c r="BH17" s="20"/>
      <c r="BI17" s="135"/>
      <c r="BJ17" s="17"/>
      <c r="BK17" s="17"/>
      <c r="BL17" s="112">
        <v>2844</v>
      </c>
      <c r="BM17" s="75">
        <f t="shared" si="6"/>
        <v>76756</v>
      </c>
      <c r="BN17" s="75">
        <f t="shared" si="7"/>
        <v>87560</v>
      </c>
      <c r="BO17" s="143">
        <v>0.1</v>
      </c>
      <c r="BP17" s="143">
        <v>0.1</v>
      </c>
      <c r="BQ17" s="17"/>
      <c r="BR17" s="17"/>
    </row>
    <row r="18" spans="1:72" x14ac:dyDescent="0.25">
      <c r="A18" s="6">
        <v>50235</v>
      </c>
      <c r="B18" s="35" t="s">
        <v>49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f t="shared" si="5"/>
        <v>0</v>
      </c>
      <c r="M18" s="75"/>
      <c r="N18" s="79">
        <v>0</v>
      </c>
      <c r="O18" s="79">
        <v>3504</v>
      </c>
      <c r="P18" s="75">
        <v>0</v>
      </c>
      <c r="Q18" s="75">
        <v>0</v>
      </c>
      <c r="R18" s="79">
        <v>0</v>
      </c>
      <c r="S18" s="79">
        <v>365</v>
      </c>
      <c r="T18" s="75">
        <v>0</v>
      </c>
      <c r="U18" s="75">
        <v>45</v>
      </c>
      <c r="V18" s="79">
        <v>0</v>
      </c>
      <c r="W18" s="79">
        <v>0</v>
      </c>
      <c r="X18" s="112">
        <v>0</v>
      </c>
      <c r="Y18" s="112">
        <v>756</v>
      </c>
      <c r="Z18" s="79">
        <v>0</v>
      </c>
      <c r="AA18" s="80">
        <v>0</v>
      </c>
      <c r="AB18" s="112">
        <v>0</v>
      </c>
      <c r="AC18" s="112">
        <v>3933</v>
      </c>
      <c r="AD18" s="81">
        <v>0</v>
      </c>
      <c r="AE18" s="81">
        <v>0</v>
      </c>
      <c r="AF18" s="79">
        <v>0</v>
      </c>
      <c r="AG18" s="114">
        <v>2528</v>
      </c>
      <c r="AH18" s="82">
        <v>0</v>
      </c>
      <c r="AI18" s="82">
        <v>0</v>
      </c>
      <c r="AJ18" s="112">
        <v>0</v>
      </c>
      <c r="AK18" s="112">
        <v>853</v>
      </c>
      <c r="AL18" s="79">
        <v>0</v>
      </c>
      <c r="AM18" s="79">
        <v>94</v>
      </c>
      <c r="AN18" s="112">
        <v>0</v>
      </c>
      <c r="AO18" s="116">
        <v>844</v>
      </c>
      <c r="AP18" s="79">
        <v>0</v>
      </c>
      <c r="AQ18" s="79">
        <v>383</v>
      </c>
      <c r="AR18" s="112">
        <v>0</v>
      </c>
      <c r="AS18" s="112">
        <v>1764</v>
      </c>
      <c r="AT18" s="79">
        <v>0</v>
      </c>
      <c r="AU18" s="79">
        <v>2532</v>
      </c>
      <c r="AV18" s="112">
        <v>0</v>
      </c>
      <c r="AW18" s="112">
        <v>2868</v>
      </c>
      <c r="AX18" s="75">
        <f t="shared" si="1"/>
        <v>20469</v>
      </c>
      <c r="AY18" s="75"/>
      <c r="AZ18" s="75">
        <v>0</v>
      </c>
      <c r="BA18" s="75"/>
      <c r="BB18" s="83">
        <f t="shared" si="2"/>
        <v>20469</v>
      </c>
      <c r="BD18" s="124">
        <f t="shared" si="3"/>
        <v>0</v>
      </c>
      <c r="BE18" s="124">
        <f t="shared" si="4"/>
        <v>20469</v>
      </c>
      <c r="BI18" s="131"/>
      <c r="BL18" s="112">
        <v>0</v>
      </c>
      <c r="BM18" s="75">
        <f t="shared" si="6"/>
        <v>20469</v>
      </c>
      <c r="BN18" s="75">
        <f t="shared" si="7"/>
        <v>22515.9</v>
      </c>
      <c r="BO18" s="143">
        <v>0.1</v>
      </c>
      <c r="BP18" s="143">
        <v>0.1</v>
      </c>
    </row>
    <row r="19" spans="1:72" x14ac:dyDescent="0.25">
      <c r="A19" s="6">
        <v>50245</v>
      </c>
      <c r="B19" s="35" t="s">
        <v>50</v>
      </c>
      <c r="C19" s="75">
        <v>9300</v>
      </c>
      <c r="D19" s="75">
        <v>0</v>
      </c>
      <c r="E19" s="75">
        <v>0</v>
      </c>
      <c r="F19" s="75">
        <v>6000</v>
      </c>
      <c r="G19" s="75">
        <v>0</v>
      </c>
      <c r="H19" s="75">
        <v>0</v>
      </c>
      <c r="I19" s="75">
        <v>12000</v>
      </c>
      <c r="J19" s="75">
        <v>0</v>
      </c>
      <c r="K19" s="75">
        <v>0</v>
      </c>
      <c r="L19" s="75">
        <f t="shared" si="5"/>
        <v>27300</v>
      </c>
      <c r="M19" s="75"/>
      <c r="N19" s="79">
        <v>0</v>
      </c>
      <c r="O19" s="79">
        <v>0</v>
      </c>
      <c r="P19" s="75">
        <v>0</v>
      </c>
      <c r="Q19" s="75">
        <v>0</v>
      </c>
      <c r="R19" s="79">
        <v>0</v>
      </c>
      <c r="S19" s="79">
        <v>0</v>
      </c>
      <c r="T19" s="75">
        <v>0</v>
      </c>
      <c r="U19" s="75">
        <v>0</v>
      </c>
      <c r="V19" s="79">
        <v>0</v>
      </c>
      <c r="W19" s="79">
        <v>0</v>
      </c>
      <c r="X19" s="112">
        <v>0</v>
      </c>
      <c r="Y19" s="112">
        <v>0</v>
      </c>
      <c r="Z19" s="79">
        <v>0</v>
      </c>
      <c r="AA19" s="80">
        <v>0</v>
      </c>
      <c r="AB19" s="112">
        <v>0</v>
      </c>
      <c r="AC19" s="112">
        <v>0</v>
      </c>
      <c r="AD19" s="81">
        <v>0</v>
      </c>
      <c r="AE19" s="81">
        <v>0</v>
      </c>
      <c r="AF19" s="79">
        <v>0</v>
      </c>
      <c r="AG19" s="114">
        <v>0</v>
      </c>
      <c r="AH19" s="82">
        <v>0</v>
      </c>
      <c r="AI19" s="82">
        <v>0</v>
      </c>
      <c r="AJ19" s="112">
        <v>0</v>
      </c>
      <c r="AK19" s="112">
        <v>0</v>
      </c>
      <c r="AL19" s="79">
        <v>0</v>
      </c>
      <c r="AM19" s="79">
        <v>0</v>
      </c>
      <c r="AN19" s="112">
        <v>0</v>
      </c>
      <c r="AO19" s="116">
        <v>0</v>
      </c>
      <c r="AP19" s="79">
        <v>0</v>
      </c>
      <c r="AQ19" s="79">
        <v>0</v>
      </c>
      <c r="AR19" s="112">
        <v>0</v>
      </c>
      <c r="AS19" s="112">
        <v>0</v>
      </c>
      <c r="AT19" s="79">
        <v>0</v>
      </c>
      <c r="AU19" s="79">
        <v>0</v>
      </c>
      <c r="AV19" s="112">
        <v>0</v>
      </c>
      <c r="AW19" s="112">
        <v>0</v>
      </c>
      <c r="AX19" s="75">
        <f t="shared" si="1"/>
        <v>0</v>
      </c>
      <c r="AY19" s="75"/>
      <c r="AZ19" s="75">
        <v>0</v>
      </c>
      <c r="BA19" s="75"/>
      <c r="BB19" s="83">
        <f t="shared" si="2"/>
        <v>27300</v>
      </c>
      <c r="BD19" s="124">
        <f t="shared" si="3"/>
        <v>0</v>
      </c>
      <c r="BE19" s="124">
        <f t="shared" si="4"/>
        <v>0</v>
      </c>
      <c r="BG19" s="6"/>
      <c r="BH19" s="6"/>
      <c r="BI19" s="133"/>
      <c r="BL19" s="112">
        <v>0</v>
      </c>
      <c r="BM19" s="75">
        <f t="shared" si="6"/>
        <v>0</v>
      </c>
      <c r="BN19" s="75">
        <f t="shared" si="7"/>
        <v>0</v>
      </c>
      <c r="BO19" s="147"/>
      <c r="BP19" s="147"/>
      <c r="BQ19" s="24"/>
    </row>
    <row r="20" spans="1:72" x14ac:dyDescent="0.25">
      <c r="A20" s="6">
        <v>50250</v>
      </c>
      <c r="B20" s="35" t="s">
        <v>51</v>
      </c>
      <c r="C20" s="75">
        <v>1860</v>
      </c>
      <c r="D20" s="75">
        <v>0</v>
      </c>
      <c r="E20" s="75">
        <v>0</v>
      </c>
      <c r="F20" s="75">
        <v>720</v>
      </c>
      <c r="G20" s="75">
        <v>2880</v>
      </c>
      <c r="H20" s="75">
        <v>2160</v>
      </c>
      <c r="I20" s="75">
        <v>1440</v>
      </c>
      <c r="J20" s="75">
        <v>0</v>
      </c>
      <c r="K20" s="75">
        <v>2160</v>
      </c>
      <c r="L20" s="75">
        <f t="shared" si="5"/>
        <v>11220</v>
      </c>
      <c r="M20" s="75"/>
      <c r="N20" s="79">
        <v>0</v>
      </c>
      <c r="O20" s="79">
        <v>0</v>
      </c>
      <c r="P20" s="75">
        <v>0</v>
      </c>
      <c r="Q20" s="75">
        <v>0</v>
      </c>
      <c r="R20" s="79">
        <v>0</v>
      </c>
      <c r="S20" s="79">
        <v>0</v>
      </c>
      <c r="T20" s="75">
        <v>0</v>
      </c>
      <c r="U20" s="75">
        <v>0</v>
      </c>
      <c r="V20" s="79">
        <v>0</v>
      </c>
      <c r="W20" s="79">
        <v>0</v>
      </c>
      <c r="X20" s="112">
        <v>0</v>
      </c>
      <c r="Y20" s="112">
        <v>0</v>
      </c>
      <c r="Z20" s="79">
        <v>1440</v>
      </c>
      <c r="AA20" s="80">
        <v>0</v>
      </c>
      <c r="AB20" s="112">
        <v>0</v>
      </c>
      <c r="AC20" s="112">
        <v>0</v>
      </c>
      <c r="AD20" s="81">
        <v>0</v>
      </c>
      <c r="AE20" s="81">
        <v>0</v>
      </c>
      <c r="AF20" s="79">
        <v>0</v>
      </c>
      <c r="AG20" s="114">
        <v>0</v>
      </c>
      <c r="AH20" s="82">
        <v>0</v>
      </c>
      <c r="AI20" s="82">
        <v>0</v>
      </c>
      <c r="AJ20" s="112">
        <v>0</v>
      </c>
      <c r="AK20" s="112">
        <v>0</v>
      </c>
      <c r="AL20" s="79">
        <v>0</v>
      </c>
      <c r="AM20" s="79">
        <v>0</v>
      </c>
      <c r="AN20" s="112">
        <v>0</v>
      </c>
      <c r="AO20" s="116">
        <v>0</v>
      </c>
      <c r="AP20" s="79">
        <v>0</v>
      </c>
      <c r="AQ20" s="79">
        <v>0</v>
      </c>
      <c r="AR20" s="112">
        <v>0</v>
      </c>
      <c r="AS20" s="112">
        <v>0</v>
      </c>
      <c r="AT20" s="79">
        <v>0</v>
      </c>
      <c r="AU20" s="79">
        <v>0</v>
      </c>
      <c r="AV20" s="112">
        <v>0</v>
      </c>
      <c r="AW20" s="112">
        <v>0</v>
      </c>
      <c r="AX20" s="75">
        <f t="shared" si="1"/>
        <v>1440</v>
      </c>
      <c r="AY20" s="75"/>
      <c r="AZ20" s="75">
        <v>1440</v>
      </c>
      <c r="BA20" s="75"/>
      <c r="BB20" s="83">
        <f t="shared" si="2"/>
        <v>14100</v>
      </c>
      <c r="BD20" s="124">
        <f t="shared" si="3"/>
        <v>1440</v>
      </c>
      <c r="BE20" s="124">
        <f t="shared" si="4"/>
        <v>0</v>
      </c>
      <c r="BG20" s="19"/>
      <c r="BH20" s="20"/>
      <c r="BI20" s="134"/>
      <c r="BL20" s="112">
        <v>1440</v>
      </c>
      <c r="BM20" s="75">
        <f t="shared" si="6"/>
        <v>0</v>
      </c>
      <c r="BN20" s="75">
        <f t="shared" si="7"/>
        <v>1465.6320000000001</v>
      </c>
      <c r="BO20" s="143">
        <v>1.78E-2</v>
      </c>
      <c r="BP20" s="143">
        <v>1.78E-2</v>
      </c>
      <c r="BQ20" s="7"/>
    </row>
    <row r="21" spans="1:72" x14ac:dyDescent="0.25">
      <c r="A21" s="6">
        <v>50265</v>
      </c>
      <c r="B21" s="35" t="s">
        <v>52</v>
      </c>
      <c r="C21" s="75">
        <v>1008</v>
      </c>
      <c r="D21" s="75">
        <v>1260</v>
      </c>
      <c r="E21" s="75">
        <v>0</v>
      </c>
      <c r="F21" s="75">
        <v>8328</v>
      </c>
      <c r="G21" s="75">
        <v>2532</v>
      </c>
      <c r="H21" s="75">
        <v>2532</v>
      </c>
      <c r="I21" s="75">
        <v>2292</v>
      </c>
      <c r="J21" s="75">
        <v>492</v>
      </c>
      <c r="K21" s="75">
        <v>1488</v>
      </c>
      <c r="L21" s="75">
        <f t="shared" si="5"/>
        <v>19932</v>
      </c>
      <c r="M21" s="75"/>
      <c r="N21" s="79">
        <v>0</v>
      </c>
      <c r="O21" s="79">
        <v>8500</v>
      </c>
      <c r="P21" s="75">
        <v>0</v>
      </c>
      <c r="Q21" s="75">
        <v>0</v>
      </c>
      <c r="R21" s="79">
        <v>0</v>
      </c>
      <c r="S21" s="79">
        <v>884</v>
      </c>
      <c r="T21" s="75">
        <v>0</v>
      </c>
      <c r="U21" s="75">
        <v>107</v>
      </c>
      <c r="V21" s="79">
        <v>0</v>
      </c>
      <c r="W21" s="79">
        <v>0</v>
      </c>
      <c r="X21" s="112">
        <v>0</v>
      </c>
      <c r="Y21" s="112">
        <v>1512</v>
      </c>
      <c r="Z21" s="79">
        <v>2532</v>
      </c>
      <c r="AA21" s="80">
        <v>0</v>
      </c>
      <c r="AB21" s="112">
        <v>0</v>
      </c>
      <c r="AC21" s="112">
        <v>9540</v>
      </c>
      <c r="AD21" s="81">
        <v>0</v>
      </c>
      <c r="AE21" s="81">
        <v>0</v>
      </c>
      <c r="AF21" s="79">
        <v>0</v>
      </c>
      <c r="AG21" s="114">
        <v>6135</v>
      </c>
      <c r="AH21" s="82">
        <v>0</v>
      </c>
      <c r="AI21" s="82">
        <v>0</v>
      </c>
      <c r="AJ21" s="112">
        <v>0</v>
      </c>
      <c r="AK21" s="112">
        <v>2074</v>
      </c>
      <c r="AL21" s="79">
        <v>0</v>
      </c>
      <c r="AM21" s="79">
        <v>231</v>
      </c>
      <c r="AN21" s="112">
        <v>0</v>
      </c>
      <c r="AO21" s="116">
        <v>2046</v>
      </c>
      <c r="AP21" s="79">
        <v>0</v>
      </c>
      <c r="AQ21" s="79">
        <v>927</v>
      </c>
      <c r="AR21" s="112">
        <v>0</v>
      </c>
      <c r="AS21" s="112">
        <v>3516</v>
      </c>
      <c r="AT21" s="79">
        <v>0</v>
      </c>
      <c r="AU21" s="79">
        <v>5388</v>
      </c>
      <c r="AV21" s="112">
        <v>0</v>
      </c>
      <c r="AW21" s="112">
        <v>5700</v>
      </c>
      <c r="AX21" s="75">
        <f t="shared" si="1"/>
        <v>49092</v>
      </c>
      <c r="AY21" s="75"/>
      <c r="AZ21" s="75">
        <v>1548</v>
      </c>
      <c r="BA21" s="75"/>
      <c r="BB21" s="83">
        <f t="shared" si="2"/>
        <v>70572</v>
      </c>
      <c r="BD21" s="124">
        <f t="shared" si="3"/>
        <v>2532</v>
      </c>
      <c r="BE21" s="124">
        <f t="shared" si="4"/>
        <v>46560</v>
      </c>
      <c r="BG21" s="6"/>
      <c r="BH21" s="25"/>
      <c r="BI21" s="134"/>
      <c r="BJ21" s="13"/>
      <c r="BL21" s="112">
        <v>2532</v>
      </c>
      <c r="BM21" s="75">
        <f t="shared" si="6"/>
        <v>46560</v>
      </c>
      <c r="BN21" s="75">
        <f t="shared" si="7"/>
        <v>54001.200000000004</v>
      </c>
      <c r="BO21" s="143">
        <v>0.1</v>
      </c>
      <c r="BP21" s="143">
        <v>0.1</v>
      </c>
      <c r="BQ21" s="26"/>
    </row>
    <row r="22" spans="1:72" s="13" customFormat="1" x14ac:dyDescent="0.25">
      <c r="A22" s="27"/>
      <c r="B22" s="121" t="s">
        <v>53</v>
      </c>
      <c r="C22" s="78">
        <f t="shared" ref="C22:AZ22" si="8">SUM(C8:C21)</f>
        <v>350472</v>
      </c>
      <c r="D22" s="78">
        <f t="shared" si="8"/>
        <v>138318</v>
      </c>
      <c r="E22" s="78">
        <f t="shared" si="8"/>
        <v>0</v>
      </c>
      <c r="F22" s="78">
        <f t="shared" si="8"/>
        <v>1283604</v>
      </c>
      <c r="G22" s="78">
        <f t="shared" si="8"/>
        <v>483189</v>
      </c>
      <c r="H22" s="78">
        <f t="shared" si="8"/>
        <v>347934</v>
      </c>
      <c r="I22" s="78">
        <f t="shared" si="8"/>
        <v>509412</v>
      </c>
      <c r="J22" s="78">
        <f t="shared" si="8"/>
        <v>133167</v>
      </c>
      <c r="K22" s="78">
        <f t="shared" si="8"/>
        <v>285576</v>
      </c>
      <c r="L22" s="78">
        <f t="shared" si="8"/>
        <v>3531672</v>
      </c>
      <c r="M22" s="97"/>
      <c r="N22" s="78">
        <f t="shared" si="8"/>
        <v>0</v>
      </c>
      <c r="O22" s="78">
        <f t="shared" si="8"/>
        <v>1232875</v>
      </c>
      <c r="P22" s="78">
        <f t="shared" si="8"/>
        <v>0</v>
      </c>
      <c r="Q22" s="78">
        <f t="shared" si="8"/>
        <v>0</v>
      </c>
      <c r="R22" s="78">
        <f t="shared" si="8"/>
        <v>0</v>
      </c>
      <c r="S22" s="78">
        <f t="shared" si="8"/>
        <v>128344</v>
      </c>
      <c r="T22" s="78">
        <f t="shared" si="8"/>
        <v>0</v>
      </c>
      <c r="U22" s="78">
        <f t="shared" si="8"/>
        <v>15434</v>
      </c>
      <c r="V22" s="78">
        <f t="shared" si="8"/>
        <v>0</v>
      </c>
      <c r="W22" s="78">
        <f t="shared" si="8"/>
        <v>0</v>
      </c>
      <c r="X22" s="78">
        <f t="shared" si="8"/>
        <v>0</v>
      </c>
      <c r="Y22" s="78">
        <f t="shared" si="8"/>
        <v>277590</v>
      </c>
      <c r="Z22" s="78">
        <f t="shared" si="8"/>
        <v>373110</v>
      </c>
      <c r="AA22" s="98">
        <f t="shared" si="8"/>
        <v>0</v>
      </c>
      <c r="AB22" s="78">
        <f t="shared" si="8"/>
        <v>0</v>
      </c>
      <c r="AC22" s="78">
        <f t="shared" si="8"/>
        <v>1362137</v>
      </c>
      <c r="AD22" s="78">
        <f t="shared" si="8"/>
        <v>0</v>
      </c>
      <c r="AE22" s="78">
        <f t="shared" si="8"/>
        <v>0</v>
      </c>
      <c r="AF22" s="78">
        <f t="shared" si="8"/>
        <v>0</v>
      </c>
      <c r="AG22" s="99">
        <f t="shared" si="8"/>
        <v>871070</v>
      </c>
      <c r="AH22" s="78">
        <f t="shared" si="8"/>
        <v>0</v>
      </c>
      <c r="AI22" s="78">
        <f t="shared" si="8"/>
        <v>0</v>
      </c>
      <c r="AJ22" s="78">
        <f t="shared" si="8"/>
        <v>0</v>
      </c>
      <c r="AK22" s="78">
        <f t="shared" si="8"/>
        <v>294366</v>
      </c>
      <c r="AL22" s="78">
        <f t="shared" si="8"/>
        <v>0</v>
      </c>
      <c r="AM22" s="78">
        <f t="shared" si="8"/>
        <v>32789</v>
      </c>
      <c r="AN22" s="78">
        <f t="shared" si="8"/>
        <v>0</v>
      </c>
      <c r="AO22" s="99">
        <f t="shared" si="8"/>
        <v>290347</v>
      </c>
      <c r="AP22" s="78">
        <f t="shared" si="8"/>
        <v>0</v>
      </c>
      <c r="AQ22" s="78">
        <f t="shared" si="8"/>
        <v>131653</v>
      </c>
      <c r="AR22" s="78">
        <f t="shared" si="8"/>
        <v>0</v>
      </c>
      <c r="AS22" s="78">
        <f t="shared" si="8"/>
        <v>575502</v>
      </c>
      <c r="AT22" s="78">
        <f t="shared" si="8"/>
        <v>0</v>
      </c>
      <c r="AU22" s="78">
        <f t="shared" si="8"/>
        <v>1006831</v>
      </c>
      <c r="AV22" s="78">
        <f t="shared" si="8"/>
        <v>0</v>
      </c>
      <c r="AW22" s="78">
        <f t="shared" si="8"/>
        <v>1232376</v>
      </c>
      <c r="AX22" s="78">
        <f t="shared" si="8"/>
        <v>7824424</v>
      </c>
      <c r="AY22" s="97"/>
      <c r="AZ22" s="78">
        <f t="shared" si="8"/>
        <v>288429</v>
      </c>
      <c r="BA22" s="97"/>
      <c r="BB22" s="100">
        <f>SUM(BB8:BB21)</f>
        <v>11644525</v>
      </c>
      <c r="BC22" s="31"/>
      <c r="BD22" s="30">
        <f>SUM(BD8:BD21)</f>
        <v>373110</v>
      </c>
      <c r="BE22" s="30">
        <f>SUM(BE8:BE21)</f>
        <v>7451314</v>
      </c>
      <c r="BF22" s="31"/>
      <c r="BG22" s="19"/>
      <c r="BH22" s="20"/>
      <c r="BI22" s="134"/>
      <c r="BJ22" s="5"/>
      <c r="BK22" s="5"/>
      <c r="BL22" s="78">
        <f>SUM(BL8:BL21)</f>
        <v>373110</v>
      </c>
      <c r="BM22" s="78">
        <f>SUM(BM8:BM21)</f>
        <v>7451314</v>
      </c>
      <c r="BN22" s="78">
        <f>SUM(BN8:BN21)</f>
        <v>8222645.4999000011</v>
      </c>
      <c r="BO22" s="143"/>
      <c r="BP22" s="143"/>
      <c r="BQ22" s="7"/>
      <c r="BR22" s="5"/>
      <c r="BS22" s="5"/>
      <c r="BT22" s="5"/>
    </row>
    <row r="23" spans="1:72" x14ac:dyDescent="0.25">
      <c r="B23" s="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9"/>
      <c r="O23" s="79"/>
      <c r="P23" s="75"/>
      <c r="Q23" s="75"/>
      <c r="R23" s="79"/>
      <c r="S23" s="79"/>
      <c r="T23" s="75"/>
      <c r="U23" s="75"/>
      <c r="V23" s="79"/>
      <c r="W23" s="79"/>
      <c r="X23" s="112"/>
      <c r="Y23" s="112"/>
      <c r="Z23" s="79"/>
      <c r="AA23" s="80"/>
      <c r="AB23" s="112"/>
      <c r="AC23" s="112"/>
      <c r="AD23" s="81"/>
      <c r="AE23" s="81"/>
      <c r="AF23" s="79"/>
      <c r="AG23" s="114"/>
      <c r="AH23" s="82"/>
      <c r="AI23" s="82"/>
      <c r="AJ23" s="112"/>
      <c r="AK23" s="112"/>
      <c r="AL23" s="79"/>
      <c r="AM23" s="79"/>
      <c r="AN23" s="112"/>
      <c r="AO23" s="116"/>
      <c r="AP23" s="79"/>
      <c r="AQ23" s="79"/>
      <c r="AR23" s="112"/>
      <c r="AS23" s="112"/>
      <c r="AT23" s="79"/>
      <c r="AU23" s="79"/>
      <c r="AV23" s="112"/>
      <c r="AW23" s="112"/>
      <c r="AX23" s="75"/>
      <c r="AY23" s="75"/>
      <c r="AZ23" s="75"/>
      <c r="BA23" s="75"/>
      <c r="BB23" s="83"/>
      <c r="BG23" s="19"/>
      <c r="BH23" s="20"/>
      <c r="BI23" s="134"/>
      <c r="BL23" s="75"/>
      <c r="BM23" s="75"/>
      <c r="BN23" s="75"/>
      <c r="BQ23" s="7"/>
    </row>
    <row r="24" spans="1:72" x14ac:dyDescent="0.25">
      <c r="A24" s="6">
        <v>50301</v>
      </c>
      <c r="B24" s="35" t="s">
        <v>54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f t="shared" ref="L24:L78" si="9">+SUM(C24:K24)</f>
        <v>0</v>
      </c>
      <c r="M24" s="75"/>
      <c r="N24" s="79">
        <v>0</v>
      </c>
      <c r="O24" s="79">
        <v>0</v>
      </c>
      <c r="P24" s="75">
        <v>0</v>
      </c>
      <c r="Q24" s="75">
        <v>0</v>
      </c>
      <c r="R24" s="79">
        <v>0</v>
      </c>
      <c r="S24" s="79">
        <v>0</v>
      </c>
      <c r="T24" s="75">
        <v>0</v>
      </c>
      <c r="U24" s="75">
        <v>0</v>
      </c>
      <c r="V24" s="79">
        <v>0</v>
      </c>
      <c r="W24" s="79">
        <v>0</v>
      </c>
      <c r="X24" s="112">
        <v>0</v>
      </c>
      <c r="Y24" s="112">
        <v>0</v>
      </c>
      <c r="Z24" s="79">
        <v>0</v>
      </c>
      <c r="AA24" s="80">
        <v>0</v>
      </c>
      <c r="AB24" s="112">
        <v>0</v>
      </c>
      <c r="AC24" s="112">
        <v>0</v>
      </c>
      <c r="AD24" s="81">
        <v>0</v>
      </c>
      <c r="AE24" s="81">
        <v>0</v>
      </c>
      <c r="AF24" s="79">
        <v>0</v>
      </c>
      <c r="AG24" s="114">
        <v>0</v>
      </c>
      <c r="AH24" s="82">
        <v>0</v>
      </c>
      <c r="AI24" s="82">
        <v>0</v>
      </c>
      <c r="AJ24" s="112">
        <v>0</v>
      </c>
      <c r="AK24" s="112">
        <v>0</v>
      </c>
      <c r="AL24" s="79">
        <v>0</v>
      </c>
      <c r="AM24" s="79">
        <v>0</v>
      </c>
      <c r="AN24" s="112">
        <v>0</v>
      </c>
      <c r="AO24" s="116">
        <v>0</v>
      </c>
      <c r="AP24" s="79">
        <v>0</v>
      </c>
      <c r="AQ24" s="79">
        <v>0</v>
      </c>
      <c r="AR24" s="112">
        <v>0</v>
      </c>
      <c r="AS24" s="112">
        <v>0</v>
      </c>
      <c r="AT24" s="79">
        <v>0</v>
      </c>
      <c r="AU24" s="79">
        <v>0</v>
      </c>
      <c r="AV24" s="112">
        <v>0</v>
      </c>
      <c r="AW24" s="112">
        <v>0</v>
      </c>
      <c r="AX24" s="75">
        <f t="shared" ref="AX24:AX55" si="10">SUM(N24:AW24)</f>
        <v>0</v>
      </c>
      <c r="AY24" s="75"/>
      <c r="AZ24" s="75">
        <v>0</v>
      </c>
      <c r="BA24" s="75"/>
      <c r="BB24" s="83">
        <f t="shared" ref="BB24:BB78" si="11">L24+AX24+AZ24</f>
        <v>0</v>
      </c>
      <c r="BD24" s="124">
        <f t="shared" ref="BD24:BD78" si="12">+AV24+AT24+AR24+AP24+AN24+AL24+AJ24+AH24+AF24+AD24+AB24+AA24+Z24+X24+V24+T24+R24+P24+N24</f>
        <v>0</v>
      </c>
      <c r="BE24" s="124">
        <f t="shared" ref="BE24:BE78" si="13">AW24+AU24+AS24+AQ24+AO24+AM24+AK24+AI24+AG24+AE24+AC24+Y24+U24+S24+Q24+O24</f>
        <v>0</v>
      </c>
      <c r="BG24" s="19"/>
      <c r="BH24" s="20"/>
      <c r="BI24" s="134"/>
      <c r="BL24" s="75"/>
      <c r="BM24" s="75">
        <v>0</v>
      </c>
      <c r="BN24" s="75">
        <f>BM24*(1+BO24)</f>
        <v>0</v>
      </c>
      <c r="BO24" s="143">
        <v>1.78E-2</v>
      </c>
      <c r="BQ24" s="7"/>
    </row>
    <row r="25" spans="1:72" x14ac:dyDescent="0.25">
      <c r="A25" s="6">
        <v>50302</v>
      </c>
      <c r="B25" s="35" t="s">
        <v>55</v>
      </c>
      <c r="C25" s="75">
        <v>0</v>
      </c>
      <c r="D25" s="75">
        <v>0</v>
      </c>
      <c r="E25" s="75">
        <v>0</v>
      </c>
      <c r="F25" s="75">
        <v>1000</v>
      </c>
      <c r="G25" s="75">
        <v>0</v>
      </c>
      <c r="H25" s="75">
        <v>65850</v>
      </c>
      <c r="I25" s="75">
        <v>0</v>
      </c>
      <c r="J25" s="75">
        <v>7500</v>
      </c>
      <c r="K25" s="75">
        <v>0</v>
      </c>
      <c r="L25" s="75">
        <f t="shared" si="9"/>
        <v>74350</v>
      </c>
      <c r="M25" s="75"/>
      <c r="N25" s="79">
        <v>0</v>
      </c>
      <c r="O25" s="79">
        <v>0</v>
      </c>
      <c r="P25" s="75">
        <v>0</v>
      </c>
      <c r="Q25" s="75">
        <v>0</v>
      </c>
      <c r="R25" s="79">
        <v>0</v>
      </c>
      <c r="S25" s="79">
        <v>0</v>
      </c>
      <c r="T25" s="75">
        <v>0</v>
      </c>
      <c r="U25" s="75">
        <v>0</v>
      </c>
      <c r="V25" s="79">
        <v>0</v>
      </c>
      <c r="W25" s="79">
        <v>0</v>
      </c>
      <c r="X25" s="112">
        <v>0</v>
      </c>
      <c r="Y25" s="112">
        <v>4800</v>
      </c>
      <c r="Z25" s="79">
        <v>0</v>
      </c>
      <c r="AA25" s="80">
        <v>0</v>
      </c>
      <c r="AB25" s="112">
        <v>0</v>
      </c>
      <c r="AC25" s="112">
        <v>0</v>
      </c>
      <c r="AD25" s="81">
        <v>0</v>
      </c>
      <c r="AE25" s="81">
        <v>0</v>
      </c>
      <c r="AF25" s="79">
        <v>0</v>
      </c>
      <c r="AG25" s="114">
        <v>0</v>
      </c>
      <c r="AH25" s="82">
        <v>0</v>
      </c>
      <c r="AI25" s="82">
        <v>0</v>
      </c>
      <c r="AJ25" s="112">
        <v>0</v>
      </c>
      <c r="AK25" s="112">
        <v>0</v>
      </c>
      <c r="AL25" s="79">
        <v>0</v>
      </c>
      <c r="AM25" s="79">
        <v>0</v>
      </c>
      <c r="AN25" s="112">
        <v>0</v>
      </c>
      <c r="AO25" s="116">
        <v>0</v>
      </c>
      <c r="AP25" s="79">
        <v>0</v>
      </c>
      <c r="AQ25" s="79">
        <v>0</v>
      </c>
      <c r="AR25" s="112">
        <v>0</v>
      </c>
      <c r="AS25" s="112">
        <v>0</v>
      </c>
      <c r="AT25" s="79">
        <v>0</v>
      </c>
      <c r="AU25" s="79">
        <v>0</v>
      </c>
      <c r="AV25" s="112">
        <v>0</v>
      </c>
      <c r="AW25" s="112">
        <v>0</v>
      </c>
      <c r="AX25" s="75">
        <f t="shared" si="10"/>
        <v>4800</v>
      </c>
      <c r="AY25" s="75"/>
      <c r="AZ25" s="75">
        <v>0</v>
      </c>
      <c r="BA25" s="75"/>
      <c r="BB25" s="83">
        <f t="shared" si="11"/>
        <v>79150</v>
      </c>
      <c r="BD25" s="124">
        <f t="shared" si="12"/>
        <v>0</v>
      </c>
      <c r="BE25" s="124">
        <f t="shared" si="13"/>
        <v>4800</v>
      </c>
      <c r="BG25" s="23"/>
      <c r="BH25" s="20"/>
      <c r="BI25" s="136"/>
      <c r="BL25" s="75"/>
      <c r="BM25" s="75">
        <v>4800</v>
      </c>
      <c r="BN25" s="75">
        <f t="shared" ref="BN25:BN78" si="14">BM25*(1+BO25)</f>
        <v>4885.4400000000005</v>
      </c>
      <c r="BO25" s="143">
        <v>1.78E-2</v>
      </c>
      <c r="BQ25" s="7"/>
    </row>
    <row r="26" spans="1:72" x14ac:dyDescent="0.25">
      <c r="A26" s="6">
        <v>50305</v>
      </c>
      <c r="B26" s="35" t="s">
        <v>56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f t="shared" si="9"/>
        <v>0</v>
      </c>
      <c r="M26" s="75"/>
      <c r="N26" s="79">
        <v>0</v>
      </c>
      <c r="O26" s="79">
        <v>0</v>
      </c>
      <c r="P26" s="75">
        <v>0</v>
      </c>
      <c r="Q26" s="75">
        <v>0</v>
      </c>
      <c r="R26" s="79">
        <v>0</v>
      </c>
      <c r="S26" s="79">
        <v>0</v>
      </c>
      <c r="T26" s="75">
        <v>0</v>
      </c>
      <c r="U26" s="75">
        <v>0</v>
      </c>
      <c r="V26" s="79">
        <v>0</v>
      </c>
      <c r="W26" s="79">
        <v>0</v>
      </c>
      <c r="X26" s="112">
        <v>0</v>
      </c>
      <c r="Y26" s="112">
        <v>0</v>
      </c>
      <c r="Z26" s="79">
        <v>0</v>
      </c>
      <c r="AA26" s="80">
        <v>0</v>
      </c>
      <c r="AB26" s="112">
        <v>0</v>
      </c>
      <c r="AC26" s="112">
        <v>0</v>
      </c>
      <c r="AD26" s="81">
        <v>0</v>
      </c>
      <c r="AE26" s="81">
        <v>0</v>
      </c>
      <c r="AF26" s="79">
        <v>0</v>
      </c>
      <c r="AG26" s="114">
        <v>0</v>
      </c>
      <c r="AH26" s="82">
        <v>0</v>
      </c>
      <c r="AI26" s="82">
        <v>0</v>
      </c>
      <c r="AJ26" s="112">
        <v>0</v>
      </c>
      <c r="AK26" s="112">
        <v>0</v>
      </c>
      <c r="AL26" s="79">
        <v>0</v>
      </c>
      <c r="AM26" s="79">
        <v>0</v>
      </c>
      <c r="AN26" s="112">
        <v>0</v>
      </c>
      <c r="AO26" s="116">
        <v>0</v>
      </c>
      <c r="AP26" s="79">
        <v>0</v>
      </c>
      <c r="AQ26" s="79">
        <v>0</v>
      </c>
      <c r="AR26" s="112">
        <v>0</v>
      </c>
      <c r="AS26" s="112">
        <v>0</v>
      </c>
      <c r="AT26" s="79">
        <v>0</v>
      </c>
      <c r="AU26" s="79">
        <v>0</v>
      </c>
      <c r="AV26" s="112">
        <v>4800</v>
      </c>
      <c r="AW26" s="112">
        <v>0</v>
      </c>
      <c r="AX26" s="75">
        <f t="shared" si="10"/>
        <v>4800</v>
      </c>
      <c r="AY26" s="75"/>
      <c r="AZ26" s="75">
        <v>0</v>
      </c>
      <c r="BA26" s="75"/>
      <c r="BB26" s="83">
        <f t="shared" si="11"/>
        <v>4800</v>
      </c>
      <c r="BD26" s="124">
        <f t="shared" si="12"/>
        <v>4800</v>
      </c>
      <c r="BE26" s="124">
        <f t="shared" si="13"/>
        <v>0</v>
      </c>
      <c r="BG26" s="23"/>
      <c r="BH26" s="20"/>
      <c r="BI26" s="32"/>
      <c r="BL26" s="75"/>
      <c r="BM26" s="75">
        <v>4800</v>
      </c>
      <c r="BN26" s="75">
        <f t="shared" si="14"/>
        <v>4885.4400000000005</v>
      </c>
      <c r="BO26" s="143">
        <v>1.78E-2</v>
      </c>
      <c r="BQ26" s="26"/>
    </row>
    <row r="27" spans="1:72" x14ac:dyDescent="0.25">
      <c r="A27" s="6">
        <v>50306</v>
      </c>
      <c r="B27" s="35" t="s">
        <v>57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f t="shared" si="9"/>
        <v>0</v>
      </c>
      <c r="M27" s="75"/>
      <c r="N27" s="79">
        <v>0</v>
      </c>
      <c r="O27" s="79">
        <v>7383</v>
      </c>
      <c r="P27" s="75">
        <v>0</v>
      </c>
      <c r="Q27" s="75">
        <v>0</v>
      </c>
      <c r="R27" s="79">
        <v>0</v>
      </c>
      <c r="S27" s="79">
        <v>1180</v>
      </c>
      <c r="T27" s="75">
        <v>0</v>
      </c>
      <c r="U27" s="75">
        <v>150</v>
      </c>
      <c r="V27" s="79">
        <v>0</v>
      </c>
      <c r="W27" s="79">
        <v>0</v>
      </c>
      <c r="X27" s="112">
        <v>0</v>
      </c>
      <c r="Y27" s="112">
        <v>0</v>
      </c>
      <c r="Z27" s="79">
        <v>0</v>
      </c>
      <c r="AA27" s="80">
        <v>0</v>
      </c>
      <c r="AB27" s="112">
        <v>0</v>
      </c>
      <c r="AC27" s="112">
        <v>8659</v>
      </c>
      <c r="AD27" s="81">
        <v>0</v>
      </c>
      <c r="AE27" s="81">
        <v>0</v>
      </c>
      <c r="AF27" s="79">
        <v>0</v>
      </c>
      <c r="AG27" s="114">
        <v>6360</v>
      </c>
      <c r="AH27" s="82">
        <v>0</v>
      </c>
      <c r="AI27" s="82">
        <v>0</v>
      </c>
      <c r="AJ27" s="112">
        <v>0</v>
      </c>
      <c r="AK27" s="112">
        <v>1826</v>
      </c>
      <c r="AL27" s="79">
        <v>0</v>
      </c>
      <c r="AM27" s="79">
        <v>231</v>
      </c>
      <c r="AN27" s="112">
        <v>0</v>
      </c>
      <c r="AO27" s="116">
        <v>1246</v>
      </c>
      <c r="AP27" s="79">
        <v>0</v>
      </c>
      <c r="AQ27" s="79">
        <v>1911</v>
      </c>
      <c r="AR27" s="112">
        <v>0</v>
      </c>
      <c r="AS27" s="112">
        <v>0</v>
      </c>
      <c r="AT27" s="79">
        <v>0</v>
      </c>
      <c r="AU27" s="79">
        <v>0</v>
      </c>
      <c r="AV27" s="112">
        <v>0</v>
      </c>
      <c r="AW27" s="112">
        <v>13500</v>
      </c>
      <c r="AX27" s="75">
        <f t="shared" si="10"/>
        <v>42446</v>
      </c>
      <c r="AY27" s="75"/>
      <c r="AZ27" s="75">
        <v>0</v>
      </c>
      <c r="BA27" s="75"/>
      <c r="BB27" s="83">
        <f t="shared" si="11"/>
        <v>42446</v>
      </c>
      <c r="BD27" s="124">
        <f t="shared" si="12"/>
        <v>0</v>
      </c>
      <c r="BE27" s="124">
        <f t="shared" si="13"/>
        <v>42446</v>
      </c>
      <c r="BG27" s="6"/>
      <c r="BH27" s="6"/>
      <c r="BI27" s="6"/>
      <c r="BL27" s="75"/>
      <c r="BM27" s="75">
        <v>42446</v>
      </c>
      <c r="BN27" s="75">
        <f t="shared" si="14"/>
        <v>43201.538800000002</v>
      </c>
      <c r="BO27" s="143">
        <v>1.78E-2</v>
      </c>
      <c r="BQ27" s="7"/>
    </row>
    <row r="28" spans="1:72" x14ac:dyDescent="0.25">
      <c r="A28" s="6">
        <v>50307</v>
      </c>
      <c r="B28" s="35" t="s">
        <v>58</v>
      </c>
      <c r="C28" s="75">
        <v>0</v>
      </c>
      <c r="D28" s="75">
        <v>0</v>
      </c>
      <c r="E28" s="75">
        <v>0</v>
      </c>
      <c r="F28" s="75">
        <v>15000</v>
      </c>
      <c r="G28" s="75">
        <v>0</v>
      </c>
      <c r="H28" s="75">
        <v>0</v>
      </c>
      <c r="I28" s="75">
        <v>0</v>
      </c>
      <c r="J28" s="75">
        <v>2400</v>
      </c>
      <c r="K28" s="75">
        <v>0</v>
      </c>
      <c r="L28" s="75">
        <f t="shared" si="9"/>
        <v>17400</v>
      </c>
      <c r="M28" s="75"/>
      <c r="N28" s="79">
        <v>0</v>
      </c>
      <c r="O28" s="79">
        <v>0</v>
      </c>
      <c r="P28" s="75">
        <v>0</v>
      </c>
      <c r="Q28" s="75">
        <v>0</v>
      </c>
      <c r="R28" s="79">
        <v>0</v>
      </c>
      <c r="S28" s="79">
        <v>0</v>
      </c>
      <c r="T28" s="75">
        <v>0</v>
      </c>
      <c r="U28" s="75">
        <v>0</v>
      </c>
      <c r="V28" s="79">
        <v>0</v>
      </c>
      <c r="W28" s="79">
        <v>0</v>
      </c>
      <c r="X28" s="112">
        <v>0</v>
      </c>
      <c r="Y28" s="112">
        <v>44300</v>
      </c>
      <c r="Z28" s="79">
        <v>0</v>
      </c>
      <c r="AA28" s="80">
        <v>0</v>
      </c>
      <c r="AB28" s="112">
        <v>0</v>
      </c>
      <c r="AC28" s="112">
        <v>0</v>
      </c>
      <c r="AD28" s="81">
        <v>0</v>
      </c>
      <c r="AE28" s="81">
        <v>0</v>
      </c>
      <c r="AF28" s="79">
        <v>0</v>
      </c>
      <c r="AG28" s="114">
        <v>0</v>
      </c>
      <c r="AH28" s="82">
        <v>0</v>
      </c>
      <c r="AI28" s="82">
        <v>0</v>
      </c>
      <c r="AJ28" s="112">
        <v>0</v>
      </c>
      <c r="AK28" s="112">
        <v>0</v>
      </c>
      <c r="AL28" s="79">
        <v>0</v>
      </c>
      <c r="AM28" s="79">
        <v>0</v>
      </c>
      <c r="AN28" s="112">
        <v>0</v>
      </c>
      <c r="AO28" s="116">
        <v>0</v>
      </c>
      <c r="AP28" s="79">
        <v>0</v>
      </c>
      <c r="AQ28" s="79">
        <v>0</v>
      </c>
      <c r="AR28" s="112">
        <v>0</v>
      </c>
      <c r="AS28" s="112">
        <v>0</v>
      </c>
      <c r="AT28" s="79">
        <v>0</v>
      </c>
      <c r="AU28" s="79">
        <v>0</v>
      </c>
      <c r="AV28" s="112">
        <v>0</v>
      </c>
      <c r="AW28" s="112">
        <v>0</v>
      </c>
      <c r="AX28" s="75">
        <f t="shared" si="10"/>
        <v>44300</v>
      </c>
      <c r="AY28" s="75"/>
      <c r="AZ28" s="75">
        <v>0</v>
      </c>
      <c r="BA28" s="75"/>
      <c r="BB28" s="83">
        <f t="shared" si="11"/>
        <v>61700</v>
      </c>
      <c r="BD28" s="124">
        <f t="shared" si="12"/>
        <v>0</v>
      </c>
      <c r="BE28" s="124">
        <f t="shared" si="13"/>
        <v>44300</v>
      </c>
      <c r="BG28" s="23"/>
      <c r="BH28" s="20"/>
      <c r="BI28" s="21"/>
      <c r="BL28" s="75"/>
      <c r="BM28" s="75">
        <v>44300</v>
      </c>
      <c r="BN28" s="75">
        <f t="shared" si="14"/>
        <v>45088.54</v>
      </c>
      <c r="BO28" s="143">
        <v>1.78E-2</v>
      </c>
      <c r="BQ28" s="7"/>
    </row>
    <row r="29" spans="1:72" x14ac:dyDescent="0.25">
      <c r="A29" s="6">
        <v>50308</v>
      </c>
      <c r="B29" s="35" t="s">
        <v>59</v>
      </c>
      <c r="C29" s="75">
        <v>0</v>
      </c>
      <c r="D29" s="75">
        <v>0</v>
      </c>
      <c r="E29" s="75">
        <v>0</v>
      </c>
      <c r="F29" s="75">
        <v>66840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f t="shared" si="9"/>
        <v>66840</v>
      </c>
      <c r="M29" s="75"/>
      <c r="N29" s="79">
        <v>0</v>
      </c>
      <c r="O29" s="79">
        <v>0</v>
      </c>
      <c r="P29" s="75">
        <v>0</v>
      </c>
      <c r="Q29" s="75">
        <v>0</v>
      </c>
      <c r="R29" s="79">
        <v>0</v>
      </c>
      <c r="S29" s="79">
        <v>0</v>
      </c>
      <c r="T29" s="75">
        <v>0</v>
      </c>
      <c r="U29" s="75">
        <v>0</v>
      </c>
      <c r="V29" s="79">
        <v>0</v>
      </c>
      <c r="W29" s="79">
        <v>0</v>
      </c>
      <c r="X29" s="112">
        <v>0</v>
      </c>
      <c r="Y29" s="112">
        <v>0</v>
      </c>
      <c r="Z29" s="79">
        <v>0</v>
      </c>
      <c r="AA29" s="80">
        <v>0</v>
      </c>
      <c r="AB29" s="112">
        <v>0</v>
      </c>
      <c r="AC29" s="112">
        <v>0</v>
      </c>
      <c r="AD29" s="81">
        <v>0</v>
      </c>
      <c r="AE29" s="81">
        <v>0</v>
      </c>
      <c r="AF29" s="79">
        <v>0</v>
      </c>
      <c r="AG29" s="114">
        <v>0</v>
      </c>
      <c r="AH29" s="82">
        <v>0</v>
      </c>
      <c r="AI29" s="82">
        <v>0</v>
      </c>
      <c r="AJ29" s="112">
        <v>0</v>
      </c>
      <c r="AK29" s="112">
        <v>0</v>
      </c>
      <c r="AL29" s="79">
        <v>0</v>
      </c>
      <c r="AM29" s="79">
        <v>0</v>
      </c>
      <c r="AN29" s="112">
        <v>0</v>
      </c>
      <c r="AO29" s="116">
        <v>0</v>
      </c>
      <c r="AP29" s="79">
        <v>0</v>
      </c>
      <c r="AQ29" s="79">
        <v>0</v>
      </c>
      <c r="AR29" s="112">
        <v>0</v>
      </c>
      <c r="AS29" s="112">
        <v>0</v>
      </c>
      <c r="AT29" s="79">
        <v>0</v>
      </c>
      <c r="AU29" s="79">
        <v>0</v>
      </c>
      <c r="AV29" s="112">
        <v>0</v>
      </c>
      <c r="AW29" s="112">
        <v>0</v>
      </c>
      <c r="AX29" s="75">
        <f t="shared" si="10"/>
        <v>0</v>
      </c>
      <c r="AY29" s="75"/>
      <c r="AZ29" s="75">
        <v>0</v>
      </c>
      <c r="BA29" s="75"/>
      <c r="BB29" s="83">
        <f t="shared" si="11"/>
        <v>66840</v>
      </c>
      <c r="BD29" s="124">
        <f t="shared" si="12"/>
        <v>0</v>
      </c>
      <c r="BE29" s="124">
        <f t="shared" si="13"/>
        <v>0</v>
      </c>
      <c r="BG29" s="19"/>
      <c r="BH29" s="20"/>
      <c r="BI29" s="21"/>
      <c r="BL29" s="75"/>
      <c r="BM29" s="75">
        <v>0</v>
      </c>
      <c r="BN29" s="75">
        <f t="shared" si="14"/>
        <v>0</v>
      </c>
      <c r="BO29" s="143">
        <v>1.78E-2</v>
      </c>
      <c r="BQ29" s="7"/>
    </row>
    <row r="30" spans="1:72" x14ac:dyDescent="0.25">
      <c r="A30" s="6">
        <v>50309</v>
      </c>
      <c r="B30" s="35" t="s">
        <v>60</v>
      </c>
      <c r="C30" s="75">
        <v>298000</v>
      </c>
      <c r="D30" s="75">
        <v>0</v>
      </c>
      <c r="E30" s="75">
        <v>16000</v>
      </c>
      <c r="F30" s="75">
        <f>175960+30600</f>
        <v>206560</v>
      </c>
      <c r="G30" s="75">
        <f>200000+400000</f>
        <v>600000</v>
      </c>
      <c r="H30" s="75">
        <v>101800</v>
      </c>
      <c r="I30" s="75">
        <v>0</v>
      </c>
      <c r="J30" s="75">
        <v>28000</v>
      </c>
      <c r="K30" s="75">
        <v>34592</v>
      </c>
      <c r="L30" s="75">
        <f t="shared" si="9"/>
        <v>1284952</v>
      </c>
      <c r="M30" s="75"/>
      <c r="N30" s="79">
        <v>0</v>
      </c>
      <c r="O30" s="79">
        <v>0</v>
      </c>
      <c r="P30" s="75">
        <v>0</v>
      </c>
      <c r="Q30" s="75">
        <v>0</v>
      </c>
      <c r="R30" s="79">
        <v>0</v>
      </c>
      <c r="S30" s="79">
        <v>0</v>
      </c>
      <c r="T30" s="75">
        <v>0</v>
      </c>
      <c r="U30" s="75">
        <v>0</v>
      </c>
      <c r="V30" s="79">
        <v>0</v>
      </c>
      <c r="W30" s="79">
        <v>0</v>
      </c>
      <c r="X30" s="112">
        <v>289440</v>
      </c>
      <c r="Y30" s="112">
        <v>171600</v>
      </c>
      <c r="Z30" s="79">
        <v>0</v>
      </c>
      <c r="AA30" s="80">
        <v>0</v>
      </c>
      <c r="AB30" s="112">
        <v>0</v>
      </c>
      <c r="AC30" s="112">
        <v>0</v>
      </c>
      <c r="AD30" s="81">
        <v>0</v>
      </c>
      <c r="AE30" s="81">
        <v>0</v>
      </c>
      <c r="AF30" s="79">
        <v>0</v>
      </c>
      <c r="AG30" s="114">
        <v>0</v>
      </c>
      <c r="AH30" s="82">
        <v>0</v>
      </c>
      <c r="AI30" s="82">
        <v>0</v>
      </c>
      <c r="AJ30" s="112">
        <v>0</v>
      </c>
      <c r="AK30" s="112">
        <v>0</v>
      </c>
      <c r="AL30" s="79">
        <v>0</v>
      </c>
      <c r="AM30" s="79">
        <v>0</v>
      </c>
      <c r="AN30" s="112">
        <v>0</v>
      </c>
      <c r="AO30" s="116">
        <v>0</v>
      </c>
      <c r="AP30" s="79">
        <v>0</v>
      </c>
      <c r="AQ30" s="79">
        <v>0</v>
      </c>
      <c r="AR30" s="112">
        <v>33000</v>
      </c>
      <c r="AS30" s="112">
        <v>0</v>
      </c>
      <c r="AT30" s="79">
        <v>0</v>
      </c>
      <c r="AU30" s="79">
        <v>0</v>
      </c>
      <c r="AV30" s="112">
        <v>0</v>
      </c>
      <c r="AW30" s="112">
        <v>0</v>
      </c>
      <c r="AX30" s="75">
        <f t="shared" si="10"/>
        <v>494040</v>
      </c>
      <c r="AY30" s="75"/>
      <c r="AZ30" s="75">
        <v>100000</v>
      </c>
      <c r="BA30" s="75"/>
      <c r="BB30" s="83">
        <f t="shared" si="11"/>
        <v>1878992</v>
      </c>
      <c r="BD30" s="124">
        <f t="shared" si="12"/>
        <v>322440</v>
      </c>
      <c r="BE30" s="124">
        <f t="shared" si="13"/>
        <v>171600</v>
      </c>
      <c r="BG30" s="23"/>
      <c r="BH30" s="20"/>
      <c r="BI30" s="21"/>
      <c r="BL30" s="75"/>
      <c r="BM30" s="75">
        <v>494040</v>
      </c>
      <c r="BN30" s="75">
        <f t="shared" si="14"/>
        <v>502833.91200000001</v>
      </c>
      <c r="BO30" s="143">
        <v>1.78E-2</v>
      </c>
      <c r="BQ30" s="7"/>
    </row>
    <row r="31" spans="1:72" x14ac:dyDescent="0.25">
      <c r="A31" s="6">
        <v>50310</v>
      </c>
      <c r="B31" s="35" t="s">
        <v>61</v>
      </c>
      <c r="C31" s="75">
        <v>0</v>
      </c>
      <c r="D31" s="75">
        <v>24880</v>
      </c>
      <c r="E31" s="75"/>
      <c r="F31" s="75">
        <v>0</v>
      </c>
      <c r="G31" s="75">
        <v>0</v>
      </c>
      <c r="H31" s="75">
        <v>4500</v>
      </c>
      <c r="I31" s="75">
        <v>0</v>
      </c>
      <c r="J31" s="75">
        <v>1000</v>
      </c>
      <c r="K31" s="75">
        <v>0</v>
      </c>
      <c r="L31" s="75">
        <f t="shared" si="9"/>
        <v>30380</v>
      </c>
      <c r="M31" s="75"/>
      <c r="N31" s="79">
        <v>0</v>
      </c>
      <c r="O31" s="79">
        <v>0</v>
      </c>
      <c r="P31" s="75">
        <v>0</v>
      </c>
      <c r="Q31" s="75">
        <v>0</v>
      </c>
      <c r="R31" s="79">
        <v>0</v>
      </c>
      <c r="S31" s="79">
        <v>0</v>
      </c>
      <c r="T31" s="75">
        <v>0</v>
      </c>
      <c r="U31" s="75">
        <v>0</v>
      </c>
      <c r="V31" s="79">
        <v>0</v>
      </c>
      <c r="W31" s="79">
        <v>0</v>
      </c>
      <c r="X31" s="112">
        <v>24540</v>
      </c>
      <c r="Y31" s="112">
        <v>36000</v>
      </c>
      <c r="Z31" s="79">
        <v>0</v>
      </c>
      <c r="AA31" s="80">
        <v>0</v>
      </c>
      <c r="AB31" s="112">
        <v>0</v>
      </c>
      <c r="AC31" s="112">
        <v>0</v>
      </c>
      <c r="AD31" s="81">
        <v>0</v>
      </c>
      <c r="AE31" s="81">
        <v>0</v>
      </c>
      <c r="AF31" s="79">
        <v>0</v>
      </c>
      <c r="AG31" s="114">
        <v>0</v>
      </c>
      <c r="AH31" s="82">
        <v>0</v>
      </c>
      <c r="AI31" s="82">
        <v>0</v>
      </c>
      <c r="AJ31" s="112">
        <v>0</v>
      </c>
      <c r="AK31" s="112">
        <v>0</v>
      </c>
      <c r="AL31" s="79">
        <v>0</v>
      </c>
      <c r="AM31" s="79">
        <v>0</v>
      </c>
      <c r="AN31" s="112">
        <v>0</v>
      </c>
      <c r="AO31" s="116">
        <v>0</v>
      </c>
      <c r="AP31" s="79">
        <v>0</v>
      </c>
      <c r="AQ31" s="79">
        <v>0</v>
      </c>
      <c r="AR31" s="112">
        <v>3360</v>
      </c>
      <c r="AS31" s="112">
        <v>0</v>
      </c>
      <c r="AT31" s="79">
        <v>0</v>
      </c>
      <c r="AU31" s="79">
        <v>0</v>
      </c>
      <c r="AV31" s="112">
        <v>25200</v>
      </c>
      <c r="AW31" s="112">
        <v>0</v>
      </c>
      <c r="AX31" s="75">
        <f t="shared" si="10"/>
        <v>89100</v>
      </c>
      <c r="AY31" s="75"/>
      <c r="AZ31" s="75">
        <v>120000</v>
      </c>
      <c r="BA31" s="75"/>
      <c r="BB31" s="83">
        <f t="shared" si="11"/>
        <v>239480</v>
      </c>
      <c r="BD31" s="124">
        <f t="shared" si="12"/>
        <v>53100</v>
      </c>
      <c r="BE31" s="124">
        <f t="shared" si="13"/>
        <v>36000</v>
      </c>
      <c r="BG31" s="19"/>
      <c r="BH31" s="20"/>
      <c r="BI31" s="21"/>
      <c r="BL31" s="75"/>
      <c r="BM31" s="75">
        <v>89100</v>
      </c>
      <c r="BN31" s="75">
        <f t="shared" si="14"/>
        <v>90685.98000000001</v>
      </c>
      <c r="BO31" s="143">
        <v>1.78E-2</v>
      </c>
      <c r="BQ31" s="7"/>
    </row>
    <row r="32" spans="1:72" x14ac:dyDescent="0.25">
      <c r="A32" s="6">
        <v>50311</v>
      </c>
      <c r="B32" s="35" t="s">
        <v>62</v>
      </c>
      <c r="C32" s="75">
        <v>0</v>
      </c>
      <c r="D32" s="75">
        <v>12900</v>
      </c>
      <c r="E32" s="75">
        <v>0</v>
      </c>
      <c r="F32" s="75">
        <v>0</v>
      </c>
      <c r="G32" s="75">
        <v>500</v>
      </c>
      <c r="H32" s="75">
        <v>87000</v>
      </c>
      <c r="I32" s="75">
        <v>14000</v>
      </c>
      <c r="J32" s="75">
        <v>500</v>
      </c>
      <c r="K32" s="75">
        <v>0</v>
      </c>
      <c r="L32" s="75">
        <f t="shared" si="9"/>
        <v>114900</v>
      </c>
      <c r="M32" s="75"/>
      <c r="N32" s="79">
        <v>0</v>
      </c>
      <c r="O32" s="79">
        <v>0</v>
      </c>
      <c r="P32" s="75">
        <v>0</v>
      </c>
      <c r="Q32" s="75">
        <v>0</v>
      </c>
      <c r="R32" s="79">
        <v>0</v>
      </c>
      <c r="S32" s="79">
        <v>0</v>
      </c>
      <c r="T32" s="75">
        <v>0</v>
      </c>
      <c r="U32" s="75">
        <v>0</v>
      </c>
      <c r="V32" s="79">
        <v>0</v>
      </c>
      <c r="W32" s="79">
        <v>0</v>
      </c>
      <c r="X32" s="112">
        <v>11960</v>
      </c>
      <c r="Y32" s="112">
        <v>3000</v>
      </c>
      <c r="Z32" s="79">
        <v>0</v>
      </c>
      <c r="AA32" s="80">
        <v>0</v>
      </c>
      <c r="AB32" s="112">
        <v>0</v>
      </c>
      <c r="AC32" s="112">
        <v>0</v>
      </c>
      <c r="AD32" s="81">
        <v>0</v>
      </c>
      <c r="AE32" s="81">
        <v>0</v>
      </c>
      <c r="AF32" s="79">
        <v>0</v>
      </c>
      <c r="AG32" s="114">
        <v>0</v>
      </c>
      <c r="AH32" s="82">
        <v>0</v>
      </c>
      <c r="AI32" s="82">
        <v>0</v>
      </c>
      <c r="AJ32" s="112">
        <v>1097</v>
      </c>
      <c r="AK32" s="112">
        <v>0</v>
      </c>
      <c r="AL32" s="79">
        <v>122</v>
      </c>
      <c r="AM32" s="79">
        <v>0</v>
      </c>
      <c r="AN32" s="112">
        <v>782</v>
      </c>
      <c r="AO32" s="116">
        <v>0</v>
      </c>
      <c r="AP32" s="79">
        <v>0</v>
      </c>
      <c r="AQ32" s="79">
        <v>0</v>
      </c>
      <c r="AR32" s="112">
        <v>1284</v>
      </c>
      <c r="AS32" s="112">
        <v>0</v>
      </c>
      <c r="AT32" s="79">
        <v>0</v>
      </c>
      <c r="AU32" s="79">
        <v>0</v>
      </c>
      <c r="AV32" s="112">
        <v>2400</v>
      </c>
      <c r="AW32" s="112">
        <v>0</v>
      </c>
      <c r="AX32" s="75">
        <f t="shared" si="10"/>
        <v>20645</v>
      </c>
      <c r="AY32" s="75"/>
      <c r="AZ32" s="75">
        <v>3000</v>
      </c>
      <c r="BA32" s="75"/>
      <c r="BB32" s="83">
        <f t="shared" si="11"/>
        <v>138545</v>
      </c>
      <c r="BD32" s="124">
        <f t="shared" si="12"/>
        <v>17645</v>
      </c>
      <c r="BE32" s="124">
        <f t="shared" si="13"/>
        <v>3000</v>
      </c>
      <c r="BG32" s="23"/>
      <c r="BH32" s="33"/>
      <c r="BL32" s="75"/>
      <c r="BM32" s="75">
        <v>20645</v>
      </c>
      <c r="BN32" s="75">
        <f t="shared" si="14"/>
        <v>21012.481</v>
      </c>
      <c r="BO32" s="143">
        <v>1.78E-2</v>
      </c>
      <c r="BQ32" s="26"/>
    </row>
    <row r="33" spans="1:70" x14ac:dyDescent="0.25">
      <c r="A33" s="6">
        <v>50312</v>
      </c>
      <c r="B33" s="35" t="s">
        <v>63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33750</v>
      </c>
      <c r="I33" s="75">
        <v>0</v>
      </c>
      <c r="J33" s="75">
        <v>0</v>
      </c>
      <c r="K33" s="75">
        <v>0</v>
      </c>
      <c r="L33" s="75">
        <f t="shared" si="9"/>
        <v>33750</v>
      </c>
      <c r="M33" s="75"/>
      <c r="N33" s="79">
        <v>0</v>
      </c>
      <c r="O33" s="79">
        <v>0</v>
      </c>
      <c r="P33" s="75">
        <v>0</v>
      </c>
      <c r="Q33" s="75">
        <v>0</v>
      </c>
      <c r="R33" s="79">
        <v>0</v>
      </c>
      <c r="S33" s="79">
        <v>0</v>
      </c>
      <c r="T33" s="75">
        <v>0</v>
      </c>
      <c r="U33" s="75">
        <v>0</v>
      </c>
      <c r="V33" s="79">
        <v>0</v>
      </c>
      <c r="W33" s="79">
        <v>0</v>
      </c>
      <c r="X33" s="112">
        <v>0</v>
      </c>
      <c r="Y33" s="112">
        <v>0</v>
      </c>
      <c r="Z33" s="79">
        <v>0</v>
      </c>
      <c r="AA33" s="80">
        <v>0</v>
      </c>
      <c r="AB33" s="112">
        <v>0</v>
      </c>
      <c r="AC33" s="112">
        <v>0</v>
      </c>
      <c r="AD33" s="81">
        <v>0</v>
      </c>
      <c r="AE33" s="81">
        <v>0</v>
      </c>
      <c r="AF33" s="79">
        <v>0</v>
      </c>
      <c r="AG33" s="114">
        <v>0</v>
      </c>
      <c r="AH33" s="82">
        <v>0</v>
      </c>
      <c r="AI33" s="82">
        <v>0</v>
      </c>
      <c r="AJ33" s="112">
        <v>0</v>
      </c>
      <c r="AK33" s="112">
        <v>0</v>
      </c>
      <c r="AL33" s="79">
        <v>0</v>
      </c>
      <c r="AM33" s="79">
        <v>0</v>
      </c>
      <c r="AN33" s="112">
        <v>0</v>
      </c>
      <c r="AO33" s="116">
        <v>0</v>
      </c>
      <c r="AP33" s="79">
        <v>0</v>
      </c>
      <c r="AQ33" s="79">
        <v>0</v>
      </c>
      <c r="AR33" s="112">
        <v>0</v>
      </c>
      <c r="AS33" s="112">
        <v>0</v>
      </c>
      <c r="AT33" s="79">
        <v>0</v>
      </c>
      <c r="AU33" s="79">
        <v>0</v>
      </c>
      <c r="AV33" s="112">
        <v>0</v>
      </c>
      <c r="AW33" s="112">
        <v>0</v>
      </c>
      <c r="AX33" s="75">
        <f t="shared" si="10"/>
        <v>0</v>
      </c>
      <c r="AY33" s="75"/>
      <c r="AZ33" s="75">
        <v>0</v>
      </c>
      <c r="BA33" s="75"/>
      <c r="BB33" s="83">
        <f t="shared" si="11"/>
        <v>33750</v>
      </c>
      <c r="BD33" s="124">
        <f t="shared" si="12"/>
        <v>0</v>
      </c>
      <c r="BE33" s="124">
        <f t="shared" si="13"/>
        <v>0</v>
      </c>
      <c r="BG33" s="34"/>
      <c r="BH33" s="34"/>
      <c r="BI33" s="34"/>
      <c r="BL33" s="75"/>
      <c r="BM33" s="75">
        <v>0</v>
      </c>
      <c r="BN33" s="75">
        <f t="shared" si="14"/>
        <v>0</v>
      </c>
      <c r="BO33" s="143">
        <v>1.78E-2</v>
      </c>
      <c r="BQ33" s="7"/>
    </row>
    <row r="34" spans="1:70" x14ac:dyDescent="0.25">
      <c r="A34" s="6">
        <v>50313</v>
      </c>
      <c r="B34" s="35" t="s">
        <v>64</v>
      </c>
      <c r="C34" s="83">
        <v>0</v>
      </c>
      <c r="D34" s="75">
        <v>8000</v>
      </c>
      <c r="E34" s="75">
        <v>46985</v>
      </c>
      <c r="F34" s="75">
        <v>133490</v>
      </c>
      <c r="G34" s="75">
        <v>1550</v>
      </c>
      <c r="H34" s="75">
        <v>76360</v>
      </c>
      <c r="I34" s="75">
        <v>27000</v>
      </c>
      <c r="J34" s="75">
        <v>0</v>
      </c>
      <c r="K34" s="75">
        <v>179808</v>
      </c>
      <c r="L34" s="75">
        <f t="shared" si="9"/>
        <v>473193</v>
      </c>
      <c r="M34" s="75"/>
      <c r="N34" s="79">
        <v>0</v>
      </c>
      <c r="O34" s="79">
        <v>0</v>
      </c>
      <c r="P34" s="75">
        <v>0</v>
      </c>
      <c r="Q34" s="75">
        <v>0</v>
      </c>
      <c r="R34" s="79">
        <v>0</v>
      </c>
      <c r="S34" s="79">
        <v>0</v>
      </c>
      <c r="T34" s="75">
        <v>0</v>
      </c>
      <c r="U34" s="75">
        <v>0</v>
      </c>
      <c r="V34" s="79">
        <v>0</v>
      </c>
      <c r="W34" s="79">
        <v>0</v>
      </c>
      <c r="X34" s="112">
        <v>95500</v>
      </c>
      <c r="Y34" s="112">
        <v>0</v>
      </c>
      <c r="Z34" s="79">
        <v>0</v>
      </c>
      <c r="AA34" s="80">
        <v>0</v>
      </c>
      <c r="AB34" s="112">
        <v>38207</v>
      </c>
      <c r="AC34" s="112">
        <v>0</v>
      </c>
      <c r="AD34" s="81">
        <v>0</v>
      </c>
      <c r="AE34" s="81">
        <v>0</v>
      </c>
      <c r="AF34" s="79">
        <v>28073</v>
      </c>
      <c r="AG34" s="114">
        <v>0</v>
      </c>
      <c r="AH34" s="82">
        <v>0</v>
      </c>
      <c r="AI34" s="82">
        <v>0</v>
      </c>
      <c r="AJ34" s="112">
        <v>41915</v>
      </c>
      <c r="AK34" s="112">
        <v>0</v>
      </c>
      <c r="AL34" s="79">
        <v>6211</v>
      </c>
      <c r="AM34" s="79">
        <v>0</v>
      </c>
      <c r="AN34" s="112">
        <v>28376</v>
      </c>
      <c r="AO34" s="116">
        <v>0</v>
      </c>
      <c r="AP34" s="79">
        <v>0</v>
      </c>
      <c r="AQ34" s="79">
        <v>0</v>
      </c>
      <c r="AR34" s="112">
        <v>0</v>
      </c>
      <c r="AS34" s="112">
        <v>0</v>
      </c>
      <c r="AT34" s="79">
        <v>0</v>
      </c>
      <c r="AU34" s="79">
        <v>0</v>
      </c>
      <c r="AV34" s="112">
        <v>50170</v>
      </c>
      <c r="AW34" s="112">
        <v>0</v>
      </c>
      <c r="AX34" s="75">
        <f t="shared" si="10"/>
        <v>288452</v>
      </c>
      <c r="AY34" s="75"/>
      <c r="AZ34" s="75">
        <v>23500</v>
      </c>
      <c r="BA34" s="75"/>
      <c r="BB34" s="83">
        <f t="shared" si="11"/>
        <v>785145</v>
      </c>
      <c r="BD34" s="124">
        <f t="shared" si="12"/>
        <v>288452</v>
      </c>
      <c r="BE34" s="124">
        <f t="shared" si="13"/>
        <v>0</v>
      </c>
      <c r="BL34" s="75"/>
      <c r="BM34" s="75">
        <v>288452</v>
      </c>
      <c r="BN34" s="75">
        <f t="shared" si="14"/>
        <v>293586.44560000004</v>
      </c>
      <c r="BO34" s="143">
        <v>1.78E-2</v>
      </c>
      <c r="BQ34" s="7"/>
    </row>
    <row r="35" spans="1:70" x14ac:dyDescent="0.25">
      <c r="A35" s="6">
        <v>50315</v>
      </c>
      <c r="B35" s="35" t="s">
        <v>65</v>
      </c>
      <c r="C35" s="75">
        <v>110000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f t="shared" si="9"/>
        <v>110000</v>
      </c>
      <c r="M35" s="75"/>
      <c r="N35" s="79">
        <v>0</v>
      </c>
      <c r="O35" s="79">
        <v>0</v>
      </c>
      <c r="P35" s="75">
        <v>0</v>
      </c>
      <c r="Q35" s="75">
        <v>0</v>
      </c>
      <c r="R35" s="79">
        <v>0</v>
      </c>
      <c r="S35" s="79">
        <v>0</v>
      </c>
      <c r="T35" s="75">
        <v>0</v>
      </c>
      <c r="U35" s="75">
        <v>0</v>
      </c>
      <c r="V35" s="79">
        <v>0</v>
      </c>
      <c r="W35" s="79">
        <v>0</v>
      </c>
      <c r="X35" s="112">
        <v>0</v>
      </c>
      <c r="Y35" s="112">
        <f>90000+7773</f>
        <v>97773</v>
      </c>
      <c r="Z35" s="79">
        <v>0</v>
      </c>
      <c r="AA35" s="80">
        <v>0</v>
      </c>
      <c r="AB35" s="112">
        <v>0</v>
      </c>
      <c r="AC35" s="112">
        <v>0</v>
      </c>
      <c r="AD35" s="81">
        <v>0</v>
      </c>
      <c r="AE35" s="81">
        <v>0</v>
      </c>
      <c r="AF35" s="79">
        <v>0</v>
      </c>
      <c r="AG35" s="114">
        <v>0</v>
      </c>
      <c r="AH35" s="82">
        <v>0</v>
      </c>
      <c r="AI35" s="82">
        <v>0</v>
      </c>
      <c r="AJ35" s="112">
        <v>0</v>
      </c>
      <c r="AK35" s="112">
        <v>0</v>
      </c>
      <c r="AL35" s="79">
        <v>0</v>
      </c>
      <c r="AM35" s="79">
        <v>0</v>
      </c>
      <c r="AN35" s="112">
        <v>0</v>
      </c>
      <c r="AO35" s="116">
        <v>0</v>
      </c>
      <c r="AP35" s="79">
        <v>0</v>
      </c>
      <c r="AQ35" s="79">
        <v>0</v>
      </c>
      <c r="AR35" s="112">
        <v>0</v>
      </c>
      <c r="AS35" s="112">
        <v>0</v>
      </c>
      <c r="AT35" s="79">
        <v>0</v>
      </c>
      <c r="AU35" s="79">
        <v>0</v>
      </c>
      <c r="AV35" s="112">
        <v>0</v>
      </c>
      <c r="AW35" s="112">
        <v>0</v>
      </c>
      <c r="AX35" s="75">
        <f t="shared" si="10"/>
        <v>97773</v>
      </c>
      <c r="AY35" s="75"/>
      <c r="AZ35" s="75">
        <v>0</v>
      </c>
      <c r="BA35" s="75"/>
      <c r="BB35" s="83">
        <f t="shared" si="11"/>
        <v>207773</v>
      </c>
      <c r="BD35" s="124">
        <f t="shared" si="12"/>
        <v>0</v>
      </c>
      <c r="BE35" s="124">
        <f t="shared" si="13"/>
        <v>97773</v>
      </c>
      <c r="BL35" s="75"/>
      <c r="BM35" s="75">
        <v>97773</v>
      </c>
      <c r="BN35" s="75">
        <f t="shared" si="14"/>
        <v>99513.359400000001</v>
      </c>
      <c r="BO35" s="143">
        <v>1.78E-2</v>
      </c>
      <c r="BQ35" s="7"/>
    </row>
    <row r="36" spans="1:70" x14ac:dyDescent="0.25">
      <c r="A36" s="6">
        <v>50316</v>
      </c>
      <c r="B36" s="35" t="s">
        <v>66</v>
      </c>
      <c r="C36" s="75">
        <v>0</v>
      </c>
      <c r="D36" s="75">
        <v>500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f t="shared" si="9"/>
        <v>500</v>
      </c>
      <c r="M36" s="75"/>
      <c r="N36" s="79">
        <v>0</v>
      </c>
      <c r="O36" s="79">
        <v>0</v>
      </c>
      <c r="P36" s="75">
        <v>0</v>
      </c>
      <c r="Q36" s="75">
        <v>0</v>
      </c>
      <c r="R36" s="79">
        <v>0</v>
      </c>
      <c r="S36" s="79">
        <v>0</v>
      </c>
      <c r="T36" s="75">
        <v>0</v>
      </c>
      <c r="U36" s="75">
        <v>0</v>
      </c>
      <c r="V36" s="79">
        <v>0</v>
      </c>
      <c r="W36" s="79">
        <v>0</v>
      </c>
      <c r="X36" s="112">
        <v>0</v>
      </c>
      <c r="Y36" s="112">
        <v>0</v>
      </c>
      <c r="Z36" s="79">
        <v>0</v>
      </c>
      <c r="AA36" s="80">
        <v>0</v>
      </c>
      <c r="AB36" s="112">
        <v>0</v>
      </c>
      <c r="AC36" s="112">
        <v>0</v>
      </c>
      <c r="AD36" s="81">
        <v>0</v>
      </c>
      <c r="AE36" s="81">
        <v>0</v>
      </c>
      <c r="AF36" s="79">
        <v>0</v>
      </c>
      <c r="AG36" s="114">
        <v>0</v>
      </c>
      <c r="AH36" s="82">
        <v>0</v>
      </c>
      <c r="AI36" s="82">
        <v>0</v>
      </c>
      <c r="AJ36" s="112">
        <v>0</v>
      </c>
      <c r="AK36" s="112">
        <v>0</v>
      </c>
      <c r="AL36" s="79">
        <v>0</v>
      </c>
      <c r="AM36" s="79">
        <v>0</v>
      </c>
      <c r="AN36" s="112">
        <v>0</v>
      </c>
      <c r="AO36" s="116">
        <v>0</v>
      </c>
      <c r="AP36" s="79">
        <v>8160</v>
      </c>
      <c r="AQ36" s="79">
        <v>0</v>
      </c>
      <c r="AR36" s="112">
        <v>0</v>
      </c>
      <c r="AS36" s="112">
        <v>0</v>
      </c>
      <c r="AT36" s="79">
        <v>0</v>
      </c>
      <c r="AU36" s="79">
        <v>0</v>
      </c>
      <c r="AV36" s="112">
        <v>107310</v>
      </c>
      <c r="AW36" s="112">
        <v>0</v>
      </c>
      <c r="AX36" s="75">
        <f t="shared" si="10"/>
        <v>115470</v>
      </c>
      <c r="AY36" s="75"/>
      <c r="AZ36" s="75">
        <v>1000</v>
      </c>
      <c r="BA36" s="75"/>
      <c r="BB36" s="83">
        <f t="shared" si="11"/>
        <v>116970</v>
      </c>
      <c r="BD36" s="124">
        <f t="shared" si="12"/>
        <v>115470</v>
      </c>
      <c r="BE36" s="124">
        <f t="shared" si="13"/>
        <v>0</v>
      </c>
      <c r="BL36" s="75"/>
      <c r="BM36" s="75">
        <v>115470</v>
      </c>
      <c r="BN36" s="75">
        <f t="shared" si="14"/>
        <v>117525.36600000001</v>
      </c>
      <c r="BO36" s="143">
        <v>1.78E-2</v>
      </c>
      <c r="BQ36" s="26"/>
    </row>
    <row r="37" spans="1:70" x14ac:dyDescent="0.25">
      <c r="A37" s="6">
        <v>50317</v>
      </c>
      <c r="B37" s="35" t="s">
        <v>67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f t="shared" si="9"/>
        <v>0</v>
      </c>
      <c r="M37" s="75"/>
      <c r="N37" s="79">
        <v>0</v>
      </c>
      <c r="O37" s="79">
        <v>0</v>
      </c>
      <c r="P37" s="75">
        <v>0</v>
      </c>
      <c r="Q37" s="75">
        <v>0</v>
      </c>
      <c r="R37" s="79">
        <v>0</v>
      </c>
      <c r="S37" s="79">
        <v>0</v>
      </c>
      <c r="T37" s="75">
        <v>0</v>
      </c>
      <c r="U37" s="75">
        <v>0</v>
      </c>
      <c r="V37" s="79">
        <v>0</v>
      </c>
      <c r="W37" s="79">
        <v>0</v>
      </c>
      <c r="X37" s="112">
        <v>0</v>
      </c>
      <c r="Y37" s="112">
        <v>0</v>
      </c>
      <c r="Z37" s="79">
        <v>0</v>
      </c>
      <c r="AA37" s="80">
        <v>0</v>
      </c>
      <c r="AB37" s="112">
        <v>0</v>
      </c>
      <c r="AC37" s="112">
        <v>0</v>
      </c>
      <c r="AD37" s="81">
        <v>0</v>
      </c>
      <c r="AE37" s="81">
        <v>0</v>
      </c>
      <c r="AF37" s="79">
        <v>0</v>
      </c>
      <c r="AG37" s="114">
        <v>0</v>
      </c>
      <c r="AH37" s="82">
        <v>0</v>
      </c>
      <c r="AI37" s="82">
        <v>0</v>
      </c>
      <c r="AJ37" s="112">
        <v>0</v>
      </c>
      <c r="AK37" s="112">
        <v>0</v>
      </c>
      <c r="AL37" s="79">
        <v>0</v>
      </c>
      <c r="AM37" s="79">
        <v>0</v>
      </c>
      <c r="AN37" s="112">
        <v>0</v>
      </c>
      <c r="AO37" s="116">
        <v>0</v>
      </c>
      <c r="AP37" s="79">
        <v>0</v>
      </c>
      <c r="AQ37" s="79">
        <v>0</v>
      </c>
      <c r="AR37" s="112">
        <v>0</v>
      </c>
      <c r="AS37" s="112">
        <v>0</v>
      </c>
      <c r="AT37" s="79">
        <v>0</v>
      </c>
      <c r="AU37" s="79">
        <v>0</v>
      </c>
      <c r="AV37" s="112">
        <v>50000</v>
      </c>
      <c r="AW37" s="112">
        <v>0</v>
      </c>
      <c r="AX37" s="75">
        <f t="shared" si="10"/>
        <v>50000</v>
      </c>
      <c r="AY37" s="75"/>
      <c r="AZ37" s="75">
        <v>0</v>
      </c>
      <c r="BA37" s="75"/>
      <c r="BB37" s="83">
        <f t="shared" si="11"/>
        <v>50000</v>
      </c>
      <c r="BD37" s="124">
        <f t="shared" si="12"/>
        <v>50000</v>
      </c>
      <c r="BE37" s="124">
        <f t="shared" si="13"/>
        <v>0</v>
      </c>
      <c r="BL37" s="75"/>
      <c r="BM37" s="75">
        <v>50000</v>
      </c>
      <c r="BN37" s="75">
        <f t="shared" si="14"/>
        <v>50890</v>
      </c>
      <c r="BO37" s="143">
        <v>1.78E-2</v>
      </c>
      <c r="BQ37" s="7"/>
    </row>
    <row r="38" spans="1:70" x14ac:dyDescent="0.25">
      <c r="A38" s="6">
        <v>50318</v>
      </c>
      <c r="B38" s="35" t="s">
        <v>68</v>
      </c>
      <c r="C38" s="75">
        <v>0</v>
      </c>
      <c r="D38" s="75">
        <v>12350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f t="shared" si="9"/>
        <v>12350</v>
      </c>
      <c r="M38" s="75"/>
      <c r="N38" s="79">
        <v>0</v>
      </c>
      <c r="O38" s="79">
        <v>0</v>
      </c>
      <c r="P38" s="75">
        <v>0</v>
      </c>
      <c r="Q38" s="75">
        <v>0</v>
      </c>
      <c r="R38" s="79">
        <v>0</v>
      </c>
      <c r="S38" s="79">
        <v>0</v>
      </c>
      <c r="T38" s="75">
        <v>0</v>
      </c>
      <c r="U38" s="75">
        <v>0</v>
      </c>
      <c r="V38" s="79">
        <v>0</v>
      </c>
      <c r="W38" s="79">
        <v>0</v>
      </c>
      <c r="X38" s="112">
        <f>102420+226471</f>
        <v>328891</v>
      </c>
      <c r="Y38" s="112">
        <v>0</v>
      </c>
      <c r="Z38" s="79">
        <v>0</v>
      </c>
      <c r="AA38" s="80">
        <v>0</v>
      </c>
      <c r="AB38" s="112">
        <v>0</v>
      </c>
      <c r="AC38" s="112">
        <v>0</v>
      </c>
      <c r="AD38" s="81">
        <v>0</v>
      </c>
      <c r="AE38" s="81">
        <v>0</v>
      </c>
      <c r="AF38" s="79">
        <v>0</v>
      </c>
      <c r="AG38" s="114">
        <v>0</v>
      </c>
      <c r="AH38" s="82">
        <v>0</v>
      </c>
      <c r="AI38" s="82">
        <v>0</v>
      </c>
      <c r="AJ38" s="112">
        <v>0</v>
      </c>
      <c r="AK38" s="112">
        <v>0</v>
      </c>
      <c r="AL38" s="79">
        <v>0</v>
      </c>
      <c r="AM38" s="79">
        <v>0</v>
      </c>
      <c r="AN38" s="112">
        <v>0</v>
      </c>
      <c r="AO38" s="116">
        <v>0</v>
      </c>
      <c r="AP38" s="79">
        <v>0</v>
      </c>
      <c r="AQ38" s="79">
        <v>0</v>
      </c>
      <c r="AR38" s="112">
        <v>60420</v>
      </c>
      <c r="AS38" s="112">
        <v>0</v>
      </c>
      <c r="AT38" s="79">
        <v>0</v>
      </c>
      <c r="AU38" s="79">
        <v>0</v>
      </c>
      <c r="AV38" s="118">
        <v>17100</v>
      </c>
      <c r="AW38" s="112">
        <v>0</v>
      </c>
      <c r="AX38" s="75">
        <f t="shared" si="10"/>
        <v>406411</v>
      </c>
      <c r="AY38" s="75"/>
      <c r="AZ38" s="75">
        <v>231526</v>
      </c>
      <c r="BA38" s="75"/>
      <c r="BB38" s="83">
        <f t="shared" si="11"/>
        <v>650287</v>
      </c>
      <c r="BD38" s="124">
        <f t="shared" si="12"/>
        <v>406411</v>
      </c>
      <c r="BE38" s="124">
        <f t="shared" si="13"/>
        <v>0</v>
      </c>
      <c r="BL38" s="75"/>
      <c r="BM38" s="75">
        <v>406411</v>
      </c>
      <c r="BN38" s="75">
        <f t="shared" si="14"/>
        <v>413645.11580000003</v>
      </c>
      <c r="BO38" s="143">
        <v>1.78E-2</v>
      </c>
      <c r="BQ38" s="26"/>
    </row>
    <row r="39" spans="1:70" x14ac:dyDescent="0.25">
      <c r="A39" s="6">
        <v>50410</v>
      </c>
      <c r="B39" s="35" t="s">
        <v>69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f t="shared" si="9"/>
        <v>0</v>
      </c>
      <c r="M39" s="75"/>
      <c r="N39" s="79">
        <v>342308</v>
      </c>
      <c r="O39" s="79">
        <v>0</v>
      </c>
      <c r="P39" s="75">
        <v>0</v>
      </c>
      <c r="Q39" s="75">
        <v>0</v>
      </c>
      <c r="R39" s="79">
        <v>33084</v>
      </c>
      <c r="S39" s="79">
        <v>0</v>
      </c>
      <c r="T39" s="75">
        <v>3994</v>
      </c>
      <c r="U39" s="75">
        <v>0</v>
      </c>
      <c r="V39" s="79">
        <v>0</v>
      </c>
      <c r="W39" s="79">
        <v>0</v>
      </c>
      <c r="X39" s="112">
        <v>0</v>
      </c>
      <c r="Y39" s="112">
        <v>0</v>
      </c>
      <c r="Z39" s="79">
        <v>0</v>
      </c>
      <c r="AA39" s="80">
        <v>0</v>
      </c>
      <c r="AB39" s="112">
        <v>303023</v>
      </c>
      <c r="AC39" s="112">
        <v>0</v>
      </c>
      <c r="AD39" s="81">
        <v>0</v>
      </c>
      <c r="AE39" s="81">
        <v>0</v>
      </c>
      <c r="AF39" s="137">
        <v>156428</v>
      </c>
      <c r="AG39" s="114">
        <v>0</v>
      </c>
      <c r="AH39" s="82">
        <v>0</v>
      </c>
      <c r="AI39" s="82">
        <v>0</v>
      </c>
      <c r="AJ39" s="112">
        <v>46203</v>
      </c>
      <c r="AK39" s="112">
        <v>0</v>
      </c>
      <c r="AL39" s="79">
        <v>5526</v>
      </c>
      <c r="AM39" s="79">
        <v>0</v>
      </c>
      <c r="AN39" s="112">
        <v>32974</v>
      </c>
      <c r="AO39" s="116">
        <v>0</v>
      </c>
      <c r="AP39" s="79">
        <v>46787</v>
      </c>
      <c r="AQ39" s="79">
        <v>0</v>
      </c>
      <c r="AR39" s="112">
        <v>0</v>
      </c>
      <c r="AS39" s="112">
        <v>0</v>
      </c>
      <c r="AT39" s="79">
        <v>21600</v>
      </c>
      <c r="AU39" s="79">
        <v>0</v>
      </c>
      <c r="AV39" s="112">
        <v>0</v>
      </c>
      <c r="AW39" s="112">
        <v>0</v>
      </c>
      <c r="AX39" s="75">
        <f t="shared" si="10"/>
        <v>991927</v>
      </c>
      <c r="AY39" s="75"/>
      <c r="AZ39" s="75">
        <f>837000+184800</f>
        <v>1021800</v>
      </c>
      <c r="BA39" s="75"/>
      <c r="BB39" s="83">
        <f t="shared" si="11"/>
        <v>2013727</v>
      </c>
      <c r="BD39" s="124">
        <f t="shared" si="12"/>
        <v>991927</v>
      </c>
      <c r="BE39" s="124">
        <f t="shared" si="13"/>
        <v>0</v>
      </c>
      <c r="BL39" s="75"/>
      <c r="BM39" s="75">
        <v>990754</v>
      </c>
      <c r="BN39" s="75">
        <f t="shared" si="14"/>
        <v>1025018.9597504145</v>
      </c>
      <c r="BO39" s="143">
        <v>3.4584730165524984E-2</v>
      </c>
      <c r="BQ39" s="7"/>
      <c r="BR39" s="13"/>
    </row>
    <row r="40" spans="1:70" x14ac:dyDescent="0.25">
      <c r="A40" s="6">
        <v>50415</v>
      </c>
      <c r="B40" s="35" t="s">
        <v>70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f t="shared" si="9"/>
        <v>0</v>
      </c>
      <c r="M40" s="75"/>
      <c r="N40" s="79">
        <v>0</v>
      </c>
      <c r="O40" s="79">
        <v>0</v>
      </c>
      <c r="P40" s="75">
        <v>0</v>
      </c>
      <c r="Q40" s="75">
        <v>0</v>
      </c>
      <c r="R40" s="79">
        <v>0</v>
      </c>
      <c r="S40" s="79">
        <v>0</v>
      </c>
      <c r="T40" s="75">
        <v>0</v>
      </c>
      <c r="U40" s="75">
        <v>0</v>
      </c>
      <c r="V40" s="79">
        <v>0</v>
      </c>
      <c r="W40" s="79">
        <v>0</v>
      </c>
      <c r="X40" s="112">
        <f>2400+1094</f>
        <v>3494</v>
      </c>
      <c r="Y40" s="112">
        <v>0</v>
      </c>
      <c r="Z40" s="79">
        <v>0</v>
      </c>
      <c r="AA40" s="80">
        <v>0</v>
      </c>
      <c r="AB40" s="112">
        <v>0</v>
      </c>
      <c r="AC40" s="112">
        <v>0</v>
      </c>
      <c r="AD40" s="81">
        <v>0</v>
      </c>
      <c r="AE40" s="81">
        <v>0</v>
      </c>
      <c r="AF40" s="79">
        <v>0</v>
      </c>
      <c r="AG40" s="114">
        <v>0</v>
      </c>
      <c r="AH40" s="82">
        <v>0</v>
      </c>
      <c r="AI40" s="82">
        <v>0</v>
      </c>
      <c r="AJ40" s="112">
        <v>0</v>
      </c>
      <c r="AK40" s="112">
        <v>0</v>
      </c>
      <c r="AL40" s="79">
        <v>0</v>
      </c>
      <c r="AM40" s="79">
        <v>0</v>
      </c>
      <c r="AN40" s="112">
        <v>0</v>
      </c>
      <c r="AO40" s="116">
        <v>0</v>
      </c>
      <c r="AP40" s="79">
        <v>0</v>
      </c>
      <c r="AQ40" s="79">
        <v>0</v>
      </c>
      <c r="AR40" s="112">
        <v>0</v>
      </c>
      <c r="AS40" s="112">
        <v>0</v>
      </c>
      <c r="AT40" s="79">
        <v>0</v>
      </c>
      <c r="AU40" s="79">
        <v>0</v>
      </c>
      <c r="AV40" s="112">
        <f>33000+64107</f>
        <v>97107</v>
      </c>
      <c r="AW40" s="112">
        <v>0</v>
      </c>
      <c r="AX40" s="75">
        <f t="shared" si="10"/>
        <v>100601</v>
      </c>
      <c r="AY40" s="75"/>
      <c r="AZ40" s="75">
        <v>500</v>
      </c>
      <c r="BA40" s="75"/>
      <c r="BB40" s="83">
        <f t="shared" si="11"/>
        <v>101101</v>
      </c>
      <c r="BD40" s="124">
        <f t="shared" si="12"/>
        <v>100601</v>
      </c>
      <c r="BE40" s="124">
        <f t="shared" si="13"/>
        <v>0</v>
      </c>
      <c r="BL40" s="75"/>
      <c r="BM40" s="75">
        <v>100601</v>
      </c>
      <c r="BN40" s="75">
        <f t="shared" si="14"/>
        <v>102391.69780000001</v>
      </c>
      <c r="BO40" s="143">
        <v>1.78E-2</v>
      </c>
      <c r="BP40" s="148"/>
      <c r="BQ40" s="7"/>
    </row>
    <row r="41" spans="1:70" x14ac:dyDescent="0.25">
      <c r="A41" s="6">
        <v>50420</v>
      </c>
      <c r="B41" s="35" t="s">
        <v>71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16100</v>
      </c>
      <c r="I41" s="75">
        <v>0</v>
      </c>
      <c r="J41" s="75">
        <v>0</v>
      </c>
      <c r="K41" s="75">
        <v>0</v>
      </c>
      <c r="L41" s="75">
        <f t="shared" si="9"/>
        <v>16100</v>
      </c>
      <c r="M41" s="75"/>
      <c r="N41" s="79">
        <v>0</v>
      </c>
      <c r="O41" s="79">
        <v>0</v>
      </c>
      <c r="P41" s="75">
        <v>0</v>
      </c>
      <c r="Q41" s="75">
        <v>0</v>
      </c>
      <c r="R41" s="79">
        <v>0</v>
      </c>
      <c r="S41" s="79">
        <v>0</v>
      </c>
      <c r="T41" s="75">
        <v>0</v>
      </c>
      <c r="U41" s="75">
        <v>0</v>
      </c>
      <c r="V41" s="79">
        <v>0</v>
      </c>
      <c r="W41" s="79">
        <v>0</v>
      </c>
      <c r="X41" s="112">
        <v>0</v>
      </c>
      <c r="Y41" s="112">
        <v>0</v>
      </c>
      <c r="Z41" s="79">
        <v>0</v>
      </c>
      <c r="AA41" s="80">
        <v>0</v>
      </c>
      <c r="AB41" s="112">
        <v>0</v>
      </c>
      <c r="AC41" s="112">
        <v>0</v>
      </c>
      <c r="AD41" s="81">
        <v>0</v>
      </c>
      <c r="AE41" s="81">
        <v>0</v>
      </c>
      <c r="AF41" s="79">
        <v>0</v>
      </c>
      <c r="AG41" s="114">
        <v>0</v>
      </c>
      <c r="AH41" s="82">
        <v>0</v>
      </c>
      <c r="AI41" s="82">
        <v>0</v>
      </c>
      <c r="AJ41" s="112">
        <v>0</v>
      </c>
      <c r="AK41" s="112">
        <v>0</v>
      </c>
      <c r="AL41" s="79">
        <v>0</v>
      </c>
      <c r="AM41" s="79">
        <v>0</v>
      </c>
      <c r="AN41" s="112">
        <v>0</v>
      </c>
      <c r="AO41" s="116">
        <v>0</v>
      </c>
      <c r="AP41" s="79">
        <v>0</v>
      </c>
      <c r="AQ41" s="79">
        <v>0</v>
      </c>
      <c r="AR41" s="112">
        <v>0</v>
      </c>
      <c r="AS41" s="112">
        <v>0</v>
      </c>
      <c r="AT41" s="79">
        <v>0</v>
      </c>
      <c r="AU41" s="79">
        <v>0</v>
      </c>
      <c r="AV41" s="112">
        <v>0</v>
      </c>
      <c r="AW41" s="112">
        <v>0</v>
      </c>
      <c r="AX41" s="75">
        <f t="shared" si="10"/>
        <v>0</v>
      </c>
      <c r="AY41" s="75"/>
      <c r="AZ41" s="75">
        <v>0</v>
      </c>
      <c r="BA41" s="75"/>
      <c r="BB41" s="83">
        <f t="shared" si="11"/>
        <v>16100</v>
      </c>
      <c r="BD41" s="124">
        <f t="shared" si="12"/>
        <v>0</v>
      </c>
      <c r="BE41" s="124">
        <f t="shared" si="13"/>
        <v>0</v>
      </c>
      <c r="BL41" s="75"/>
      <c r="BM41" s="75">
        <v>0</v>
      </c>
      <c r="BN41" s="75">
        <f t="shared" si="14"/>
        <v>0</v>
      </c>
      <c r="BO41" s="143">
        <v>1.78E-2</v>
      </c>
      <c r="BP41" s="148"/>
      <c r="BQ41" s="7"/>
    </row>
    <row r="42" spans="1:70" x14ac:dyDescent="0.25">
      <c r="A42" s="6">
        <v>50425</v>
      </c>
      <c r="B42" s="35" t="s">
        <v>72</v>
      </c>
      <c r="C42" s="75">
        <v>0</v>
      </c>
      <c r="D42" s="75">
        <v>12700</v>
      </c>
      <c r="E42" s="75">
        <v>500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f t="shared" si="9"/>
        <v>13200</v>
      </c>
      <c r="M42" s="75"/>
      <c r="N42" s="79">
        <v>0</v>
      </c>
      <c r="O42" s="79">
        <v>0</v>
      </c>
      <c r="P42" s="75">
        <v>0</v>
      </c>
      <c r="Q42" s="75">
        <v>0</v>
      </c>
      <c r="R42" s="79">
        <v>0</v>
      </c>
      <c r="S42" s="79">
        <v>0</v>
      </c>
      <c r="T42" s="75">
        <v>0</v>
      </c>
      <c r="U42" s="75">
        <v>0</v>
      </c>
      <c r="V42" s="79">
        <v>0</v>
      </c>
      <c r="W42" s="79">
        <v>0</v>
      </c>
      <c r="X42" s="112">
        <f>13500+159</f>
        <v>13659</v>
      </c>
      <c r="Y42" s="112">
        <v>1404</v>
      </c>
      <c r="Z42" s="79">
        <v>0</v>
      </c>
      <c r="AA42" s="80">
        <v>0</v>
      </c>
      <c r="AB42" s="112">
        <v>0</v>
      </c>
      <c r="AC42" s="112">
        <v>0</v>
      </c>
      <c r="AD42" s="81">
        <v>0</v>
      </c>
      <c r="AE42" s="81">
        <v>0</v>
      </c>
      <c r="AF42" s="79">
        <v>0</v>
      </c>
      <c r="AG42" s="114">
        <v>0</v>
      </c>
      <c r="AH42" s="82">
        <v>0</v>
      </c>
      <c r="AI42" s="82">
        <v>0</v>
      </c>
      <c r="AJ42" s="112">
        <v>0</v>
      </c>
      <c r="AK42" s="112">
        <v>0</v>
      </c>
      <c r="AL42" s="79">
        <v>0</v>
      </c>
      <c r="AM42" s="79">
        <v>0</v>
      </c>
      <c r="AN42" s="112">
        <v>0</v>
      </c>
      <c r="AO42" s="116">
        <v>0</v>
      </c>
      <c r="AP42" s="79">
        <v>0</v>
      </c>
      <c r="AQ42" s="79">
        <v>0</v>
      </c>
      <c r="AR42" s="112">
        <v>7700</v>
      </c>
      <c r="AS42" s="112">
        <v>0</v>
      </c>
      <c r="AT42" s="79">
        <v>0</v>
      </c>
      <c r="AU42" s="79">
        <v>0</v>
      </c>
      <c r="AV42" s="112">
        <v>0</v>
      </c>
      <c r="AW42" s="112">
        <v>0</v>
      </c>
      <c r="AX42" s="75">
        <f t="shared" si="10"/>
        <v>22763</v>
      </c>
      <c r="AY42" s="75"/>
      <c r="AZ42" s="75">
        <v>0</v>
      </c>
      <c r="BA42" s="75"/>
      <c r="BB42" s="83">
        <f t="shared" si="11"/>
        <v>35963</v>
      </c>
      <c r="BD42" s="124">
        <f t="shared" si="12"/>
        <v>21359</v>
      </c>
      <c r="BE42" s="124">
        <f t="shared" si="13"/>
        <v>1404</v>
      </c>
      <c r="BL42" s="75"/>
      <c r="BM42" s="75">
        <v>22763</v>
      </c>
      <c r="BN42" s="75">
        <f t="shared" si="14"/>
        <v>23168.181400000001</v>
      </c>
      <c r="BO42" s="143">
        <v>1.78E-2</v>
      </c>
      <c r="BP42" s="157"/>
      <c r="BQ42" s="26"/>
    </row>
    <row r="43" spans="1:70" x14ac:dyDescent="0.25">
      <c r="A43" s="6">
        <v>50435</v>
      </c>
      <c r="B43" s="35" t="s">
        <v>73</v>
      </c>
      <c r="C43" s="75">
        <v>0</v>
      </c>
      <c r="D43" s="75">
        <v>3000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f t="shared" si="9"/>
        <v>3000</v>
      </c>
      <c r="M43" s="75"/>
      <c r="N43" s="79">
        <v>0</v>
      </c>
      <c r="O43" s="79">
        <v>0</v>
      </c>
      <c r="P43" s="75">
        <v>0</v>
      </c>
      <c r="Q43" s="75">
        <v>0</v>
      </c>
      <c r="R43" s="79">
        <v>0</v>
      </c>
      <c r="S43" s="79">
        <v>0</v>
      </c>
      <c r="T43" s="75">
        <v>0</v>
      </c>
      <c r="U43" s="75">
        <v>0</v>
      </c>
      <c r="V43" s="79">
        <v>0</v>
      </c>
      <c r="W43" s="79">
        <v>0</v>
      </c>
      <c r="X43" s="112">
        <v>1200</v>
      </c>
      <c r="Y43" s="112">
        <v>0</v>
      </c>
      <c r="Z43" s="79">
        <v>0</v>
      </c>
      <c r="AA43" s="80">
        <v>0</v>
      </c>
      <c r="AB43" s="112">
        <v>0</v>
      </c>
      <c r="AC43" s="112">
        <v>0</v>
      </c>
      <c r="AD43" s="81">
        <v>0</v>
      </c>
      <c r="AE43" s="81">
        <v>0</v>
      </c>
      <c r="AF43" s="79">
        <v>0</v>
      </c>
      <c r="AG43" s="114">
        <v>0</v>
      </c>
      <c r="AH43" s="82">
        <v>0</v>
      </c>
      <c r="AI43" s="82">
        <v>0</v>
      </c>
      <c r="AJ43" s="112">
        <v>0</v>
      </c>
      <c r="AK43" s="112">
        <v>0</v>
      </c>
      <c r="AL43" s="79">
        <v>0</v>
      </c>
      <c r="AM43" s="79">
        <v>0</v>
      </c>
      <c r="AN43" s="112">
        <v>0</v>
      </c>
      <c r="AO43" s="116">
        <v>0</v>
      </c>
      <c r="AP43" s="79">
        <v>0</v>
      </c>
      <c r="AQ43" s="79">
        <v>0</v>
      </c>
      <c r="AR43" s="112">
        <v>0</v>
      </c>
      <c r="AS43" s="112">
        <v>0</v>
      </c>
      <c r="AT43" s="79">
        <v>0</v>
      </c>
      <c r="AU43" s="79">
        <v>0</v>
      </c>
      <c r="AV43" s="112">
        <v>0</v>
      </c>
      <c r="AW43" s="112">
        <v>0</v>
      </c>
      <c r="AX43" s="75">
        <f t="shared" si="10"/>
        <v>1200</v>
      </c>
      <c r="AY43" s="75"/>
      <c r="AZ43" s="75">
        <v>0</v>
      </c>
      <c r="BA43" s="75"/>
      <c r="BB43" s="83">
        <f t="shared" si="11"/>
        <v>4200</v>
      </c>
      <c r="BD43" s="124">
        <f t="shared" si="12"/>
        <v>1200</v>
      </c>
      <c r="BE43" s="124">
        <f t="shared" si="13"/>
        <v>0</v>
      </c>
      <c r="BL43" s="75"/>
      <c r="BM43" s="75">
        <v>1200</v>
      </c>
      <c r="BN43" s="75">
        <f t="shared" si="14"/>
        <v>1221.3600000000001</v>
      </c>
      <c r="BO43" s="143">
        <v>1.78E-2</v>
      </c>
      <c r="BQ43" s="7"/>
    </row>
    <row r="44" spans="1:70" x14ac:dyDescent="0.25">
      <c r="A44" s="6">
        <v>50440</v>
      </c>
      <c r="B44" s="35" t="s">
        <v>74</v>
      </c>
      <c r="C44" s="83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29300</v>
      </c>
      <c r="L44" s="75">
        <f t="shared" si="9"/>
        <v>29300</v>
      </c>
      <c r="M44" s="75"/>
      <c r="N44" s="79">
        <v>0</v>
      </c>
      <c r="O44" s="79">
        <v>0</v>
      </c>
      <c r="P44" s="75">
        <v>0</v>
      </c>
      <c r="Q44" s="75">
        <v>0</v>
      </c>
      <c r="R44" s="79">
        <v>0</v>
      </c>
      <c r="S44" s="79">
        <v>0</v>
      </c>
      <c r="T44" s="75">
        <v>0</v>
      </c>
      <c r="U44" s="75">
        <v>0</v>
      </c>
      <c r="V44" s="79">
        <v>0</v>
      </c>
      <c r="W44" s="79">
        <v>0</v>
      </c>
      <c r="X44" s="112">
        <v>3000</v>
      </c>
      <c r="Y44" s="112">
        <v>0</v>
      </c>
      <c r="Z44" s="79">
        <v>0</v>
      </c>
      <c r="AA44" s="80">
        <v>0</v>
      </c>
      <c r="AB44" s="112">
        <v>0</v>
      </c>
      <c r="AC44" s="112">
        <v>0</v>
      </c>
      <c r="AD44" s="81">
        <v>0</v>
      </c>
      <c r="AE44" s="81">
        <v>0</v>
      </c>
      <c r="AF44" s="79">
        <v>0</v>
      </c>
      <c r="AG44" s="114">
        <v>0</v>
      </c>
      <c r="AH44" s="82">
        <v>0</v>
      </c>
      <c r="AI44" s="82">
        <v>0</v>
      </c>
      <c r="AJ44" s="112">
        <f>3279+2015</f>
        <v>5294</v>
      </c>
      <c r="AK44" s="112">
        <v>0</v>
      </c>
      <c r="AL44" s="79">
        <v>414</v>
      </c>
      <c r="AM44" s="79">
        <v>0</v>
      </c>
      <c r="AN44" s="112">
        <f>43106+20656+2312</f>
        <v>66074</v>
      </c>
      <c r="AO44" s="116">
        <v>0</v>
      </c>
      <c r="AP44" s="79">
        <v>0</v>
      </c>
      <c r="AQ44" s="79">
        <v>0</v>
      </c>
      <c r="AR44" s="112">
        <v>700</v>
      </c>
      <c r="AS44" s="112">
        <v>0</v>
      </c>
      <c r="AT44" s="79">
        <v>0</v>
      </c>
      <c r="AU44" s="79">
        <v>0</v>
      </c>
      <c r="AV44" s="112">
        <v>0</v>
      </c>
      <c r="AW44" s="112">
        <v>0</v>
      </c>
      <c r="AX44" s="75">
        <f t="shared" si="10"/>
        <v>75482</v>
      </c>
      <c r="AY44" s="75"/>
      <c r="AZ44" s="75">
        <v>0</v>
      </c>
      <c r="BA44" s="75"/>
      <c r="BB44" s="83">
        <f t="shared" si="11"/>
        <v>104782</v>
      </c>
      <c r="BD44" s="124">
        <f t="shared" si="12"/>
        <v>75482</v>
      </c>
      <c r="BE44" s="124">
        <f t="shared" si="13"/>
        <v>0</v>
      </c>
      <c r="BL44" s="75"/>
      <c r="BM44" s="75">
        <v>75482</v>
      </c>
      <c r="BN44" s="75">
        <f t="shared" si="14"/>
        <v>76825.579599999997</v>
      </c>
      <c r="BO44" s="143">
        <v>1.78E-2</v>
      </c>
      <c r="BQ44" s="26"/>
    </row>
    <row r="45" spans="1:70" x14ac:dyDescent="0.25">
      <c r="A45" s="6">
        <v>50445</v>
      </c>
      <c r="B45" s="35" t="s">
        <v>75</v>
      </c>
      <c r="C45" s="75">
        <v>0</v>
      </c>
      <c r="D45" s="8">
        <v>2500</v>
      </c>
      <c r="E45" s="75">
        <v>0</v>
      </c>
      <c r="F45" s="75">
        <v>0</v>
      </c>
      <c r="G45" s="75">
        <v>0</v>
      </c>
      <c r="H45" s="75">
        <v>5950</v>
      </c>
      <c r="I45" s="75">
        <v>0</v>
      </c>
      <c r="J45" s="75">
        <v>0</v>
      </c>
      <c r="K45" s="75">
        <v>0</v>
      </c>
      <c r="L45" s="75">
        <f t="shared" si="9"/>
        <v>8450</v>
      </c>
      <c r="M45" s="75"/>
      <c r="N45" s="79">
        <v>0</v>
      </c>
      <c r="O45" s="79">
        <v>0</v>
      </c>
      <c r="P45" s="75">
        <v>0</v>
      </c>
      <c r="Q45" s="75">
        <v>0</v>
      </c>
      <c r="R45" s="79">
        <v>0</v>
      </c>
      <c r="S45" s="79">
        <v>0</v>
      </c>
      <c r="T45" s="75">
        <v>0</v>
      </c>
      <c r="U45" s="75">
        <v>0</v>
      </c>
      <c r="V45" s="79">
        <v>0</v>
      </c>
      <c r="W45" s="79">
        <v>0</v>
      </c>
      <c r="X45" s="112">
        <f>120+4096</f>
        <v>4216</v>
      </c>
      <c r="Y45" s="112">
        <f>1200+689</f>
        <v>1889</v>
      </c>
      <c r="Z45" s="79">
        <v>0</v>
      </c>
      <c r="AA45" s="80">
        <v>0</v>
      </c>
      <c r="AB45" s="112">
        <v>0</v>
      </c>
      <c r="AC45" s="112">
        <v>0</v>
      </c>
      <c r="AD45" s="81">
        <v>0</v>
      </c>
      <c r="AE45" s="81">
        <v>0</v>
      </c>
      <c r="AF45" s="79">
        <v>0</v>
      </c>
      <c r="AG45" s="114">
        <v>0</v>
      </c>
      <c r="AH45" s="82">
        <v>0</v>
      </c>
      <c r="AI45" s="82">
        <v>0</v>
      </c>
      <c r="AJ45" s="112">
        <v>0</v>
      </c>
      <c r="AK45" s="112">
        <v>0</v>
      </c>
      <c r="AL45" s="79">
        <v>0</v>
      </c>
      <c r="AM45" s="79">
        <v>0</v>
      </c>
      <c r="AN45" s="112">
        <v>0</v>
      </c>
      <c r="AO45" s="116">
        <v>0</v>
      </c>
      <c r="AP45" s="79">
        <v>0</v>
      </c>
      <c r="AQ45" s="79">
        <v>0</v>
      </c>
      <c r="AR45" s="112">
        <v>3000</v>
      </c>
      <c r="AS45" s="112">
        <v>0</v>
      </c>
      <c r="AT45" s="79">
        <v>0</v>
      </c>
      <c r="AU45" s="79">
        <v>0</v>
      </c>
      <c r="AV45" s="112">
        <v>0</v>
      </c>
      <c r="AW45" s="112">
        <v>0</v>
      </c>
      <c r="AX45" s="75">
        <f t="shared" si="10"/>
        <v>9105</v>
      </c>
      <c r="AY45" s="75"/>
      <c r="AZ45" s="75">
        <v>0</v>
      </c>
      <c r="BA45" s="75"/>
      <c r="BB45" s="83">
        <f t="shared" si="11"/>
        <v>17555</v>
      </c>
      <c r="BD45" s="124">
        <f t="shared" si="12"/>
        <v>7216</v>
      </c>
      <c r="BE45" s="124">
        <f t="shared" si="13"/>
        <v>1889</v>
      </c>
      <c r="BL45" s="75"/>
      <c r="BM45" s="75">
        <v>9105</v>
      </c>
      <c r="BN45" s="75">
        <f t="shared" si="14"/>
        <v>9267.0689999999995</v>
      </c>
      <c r="BO45" s="143">
        <v>1.78E-2</v>
      </c>
      <c r="BQ45" s="36"/>
      <c r="BR45" s="13"/>
    </row>
    <row r="46" spans="1:70" x14ac:dyDescent="0.25">
      <c r="A46" s="6">
        <v>50450</v>
      </c>
      <c r="B46" s="35" t="s">
        <v>76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83">
        <v>0</v>
      </c>
      <c r="I46" s="75">
        <v>0</v>
      </c>
      <c r="J46" s="75">
        <v>0</v>
      </c>
      <c r="K46" s="75">
        <v>0</v>
      </c>
      <c r="L46" s="75">
        <f t="shared" si="9"/>
        <v>0</v>
      </c>
      <c r="M46" s="75"/>
      <c r="N46" s="79">
        <v>0</v>
      </c>
      <c r="O46" s="79">
        <v>0</v>
      </c>
      <c r="P46" s="75">
        <v>0</v>
      </c>
      <c r="Q46" s="75">
        <v>0</v>
      </c>
      <c r="R46" s="79">
        <v>0</v>
      </c>
      <c r="S46" s="79">
        <v>0</v>
      </c>
      <c r="T46" s="75">
        <v>0</v>
      </c>
      <c r="U46" s="75">
        <v>0</v>
      </c>
      <c r="V46" s="79">
        <v>0</v>
      </c>
      <c r="W46" s="79">
        <v>0</v>
      </c>
      <c r="X46" s="112">
        <v>0</v>
      </c>
      <c r="Y46" s="112">
        <v>0</v>
      </c>
      <c r="Z46" s="79">
        <v>0</v>
      </c>
      <c r="AA46" s="80">
        <v>0</v>
      </c>
      <c r="AB46" s="112">
        <v>0</v>
      </c>
      <c r="AC46" s="112">
        <v>0</v>
      </c>
      <c r="AD46" s="81">
        <v>0</v>
      </c>
      <c r="AE46" s="81">
        <v>0</v>
      </c>
      <c r="AF46" s="79">
        <v>0</v>
      </c>
      <c r="AG46" s="114">
        <v>0</v>
      </c>
      <c r="AH46" s="82">
        <v>0</v>
      </c>
      <c r="AI46" s="82">
        <v>0</v>
      </c>
      <c r="AJ46" s="112">
        <v>0</v>
      </c>
      <c r="AK46" s="112">
        <v>0</v>
      </c>
      <c r="AL46" s="79">
        <v>0</v>
      </c>
      <c r="AM46" s="79">
        <v>0</v>
      </c>
      <c r="AN46" s="112">
        <v>0</v>
      </c>
      <c r="AO46" s="116">
        <v>0</v>
      </c>
      <c r="AP46" s="79">
        <v>0</v>
      </c>
      <c r="AQ46" s="79">
        <v>0</v>
      </c>
      <c r="AR46" s="112">
        <v>0</v>
      </c>
      <c r="AS46" s="112">
        <v>0</v>
      </c>
      <c r="AT46" s="79">
        <v>0</v>
      </c>
      <c r="AU46" s="79">
        <v>0</v>
      </c>
      <c r="AV46" s="112">
        <v>104000</v>
      </c>
      <c r="AW46" s="112">
        <v>0</v>
      </c>
      <c r="AX46" s="75">
        <f t="shared" si="10"/>
        <v>104000</v>
      </c>
      <c r="AY46" s="75"/>
      <c r="AZ46" s="75">
        <v>0</v>
      </c>
      <c r="BA46" s="75"/>
      <c r="BB46" s="83">
        <f t="shared" si="11"/>
        <v>104000</v>
      </c>
      <c r="BD46" s="124">
        <f t="shared" si="12"/>
        <v>104000</v>
      </c>
      <c r="BE46" s="124">
        <f t="shared" si="13"/>
        <v>0</v>
      </c>
      <c r="BL46" s="75"/>
      <c r="BM46" s="75">
        <v>104000</v>
      </c>
      <c r="BN46" s="75">
        <f t="shared" si="14"/>
        <v>105851.2</v>
      </c>
      <c r="BO46" s="143">
        <v>1.78E-2</v>
      </c>
      <c r="BP46" s="148"/>
      <c r="BQ46" s="36"/>
    </row>
    <row r="47" spans="1:70" x14ac:dyDescent="0.25">
      <c r="A47" s="6">
        <v>50455</v>
      </c>
      <c r="B47" s="35" t="s">
        <v>77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f t="shared" si="9"/>
        <v>0</v>
      </c>
      <c r="M47" s="75"/>
      <c r="N47" s="79">
        <v>0</v>
      </c>
      <c r="O47" s="79">
        <v>0</v>
      </c>
      <c r="P47" s="75">
        <v>0</v>
      </c>
      <c r="Q47" s="75">
        <v>0</v>
      </c>
      <c r="R47" s="79">
        <v>0</v>
      </c>
      <c r="S47" s="79">
        <v>0</v>
      </c>
      <c r="T47" s="75">
        <v>0</v>
      </c>
      <c r="U47" s="75">
        <v>0</v>
      </c>
      <c r="V47" s="79">
        <v>0</v>
      </c>
      <c r="W47" s="79">
        <v>0</v>
      </c>
      <c r="X47" s="112">
        <v>0</v>
      </c>
      <c r="Y47" s="112">
        <v>0</v>
      </c>
      <c r="Z47" s="79">
        <v>0</v>
      </c>
      <c r="AA47" s="80">
        <v>0</v>
      </c>
      <c r="AB47" s="112">
        <v>0</v>
      </c>
      <c r="AC47" s="112">
        <v>0</v>
      </c>
      <c r="AD47" s="81">
        <v>0</v>
      </c>
      <c r="AE47" s="81">
        <v>0</v>
      </c>
      <c r="AF47" s="79">
        <v>0</v>
      </c>
      <c r="AG47" s="114">
        <v>0</v>
      </c>
      <c r="AH47" s="82">
        <v>0</v>
      </c>
      <c r="AI47" s="82">
        <v>0</v>
      </c>
      <c r="AJ47" s="112">
        <v>0</v>
      </c>
      <c r="AK47" s="112">
        <v>0</v>
      </c>
      <c r="AL47" s="79">
        <v>0</v>
      </c>
      <c r="AM47" s="79">
        <v>0</v>
      </c>
      <c r="AN47" s="112">
        <v>0</v>
      </c>
      <c r="AO47" s="116">
        <v>0</v>
      </c>
      <c r="AP47" s="79">
        <v>0</v>
      </c>
      <c r="AQ47" s="79">
        <v>0</v>
      </c>
      <c r="AR47" s="112">
        <v>0</v>
      </c>
      <c r="AS47" s="112">
        <v>0</v>
      </c>
      <c r="AT47" s="79">
        <v>0</v>
      </c>
      <c r="AU47" s="79">
        <v>0</v>
      </c>
      <c r="AV47" s="112">
        <v>490800</v>
      </c>
      <c r="AW47" s="112">
        <v>0</v>
      </c>
      <c r="AX47" s="75">
        <f t="shared" si="10"/>
        <v>490800</v>
      </c>
      <c r="AY47" s="75"/>
      <c r="AZ47" s="75">
        <v>0</v>
      </c>
      <c r="BA47" s="75"/>
      <c r="BB47" s="83">
        <f t="shared" si="11"/>
        <v>490800</v>
      </c>
      <c r="BD47" s="124">
        <f t="shared" si="12"/>
        <v>490800</v>
      </c>
      <c r="BE47" s="124">
        <f t="shared" si="13"/>
        <v>0</v>
      </c>
      <c r="BL47" s="75"/>
      <c r="BM47" s="75">
        <v>490800</v>
      </c>
      <c r="BN47" s="75">
        <f t="shared" si="14"/>
        <v>499536.24</v>
      </c>
      <c r="BO47" s="143">
        <v>1.78E-2</v>
      </c>
      <c r="BP47" s="148"/>
      <c r="BQ47" s="36"/>
    </row>
    <row r="48" spans="1:70" x14ac:dyDescent="0.25">
      <c r="A48" s="6">
        <v>50456</v>
      </c>
      <c r="B48" s="35" t="s">
        <v>78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f t="shared" si="9"/>
        <v>0</v>
      </c>
      <c r="M48" s="75"/>
      <c r="N48" s="79">
        <v>0</v>
      </c>
      <c r="O48" s="79">
        <v>0</v>
      </c>
      <c r="P48" s="75">
        <v>0</v>
      </c>
      <c r="Q48" s="75">
        <v>0</v>
      </c>
      <c r="R48" s="79">
        <v>0</v>
      </c>
      <c r="S48" s="79">
        <v>0</v>
      </c>
      <c r="T48" s="75">
        <v>0</v>
      </c>
      <c r="U48" s="75">
        <v>0</v>
      </c>
      <c r="V48" s="79">
        <v>0</v>
      </c>
      <c r="W48" s="79">
        <v>0</v>
      </c>
      <c r="X48" s="112">
        <v>0</v>
      </c>
      <c r="Y48" s="112">
        <v>0</v>
      </c>
      <c r="Z48" s="79">
        <v>0</v>
      </c>
      <c r="AA48" s="80">
        <v>0</v>
      </c>
      <c r="AB48" s="112">
        <v>0</v>
      </c>
      <c r="AC48" s="112">
        <v>0</v>
      </c>
      <c r="AD48" s="81">
        <v>0</v>
      </c>
      <c r="AE48" s="81">
        <v>0</v>
      </c>
      <c r="AF48" s="79">
        <v>0</v>
      </c>
      <c r="AG48" s="114">
        <v>0</v>
      </c>
      <c r="AH48" s="82">
        <v>0</v>
      </c>
      <c r="AI48" s="82">
        <v>0</v>
      </c>
      <c r="AJ48" s="112">
        <v>0</v>
      </c>
      <c r="AK48" s="112">
        <v>0</v>
      </c>
      <c r="AL48" s="79">
        <v>0</v>
      </c>
      <c r="AM48" s="79">
        <v>0</v>
      </c>
      <c r="AN48" s="112">
        <v>0</v>
      </c>
      <c r="AO48" s="116">
        <v>0</v>
      </c>
      <c r="AP48" s="79">
        <v>0</v>
      </c>
      <c r="AQ48" s="79">
        <v>0</v>
      </c>
      <c r="AR48" s="112">
        <v>0</v>
      </c>
      <c r="AS48" s="112">
        <v>0</v>
      </c>
      <c r="AT48" s="79">
        <v>0</v>
      </c>
      <c r="AU48" s="79">
        <v>0</v>
      </c>
      <c r="AV48" s="112">
        <v>32800</v>
      </c>
      <c r="AW48" s="112">
        <v>0</v>
      </c>
      <c r="AX48" s="75">
        <f t="shared" si="10"/>
        <v>32800</v>
      </c>
      <c r="AY48" s="75"/>
      <c r="AZ48" s="75">
        <v>0</v>
      </c>
      <c r="BA48" s="75"/>
      <c r="BB48" s="83">
        <f t="shared" si="11"/>
        <v>32800</v>
      </c>
      <c r="BD48" s="124">
        <f t="shared" si="12"/>
        <v>32800</v>
      </c>
      <c r="BE48" s="124">
        <f t="shared" si="13"/>
        <v>0</v>
      </c>
      <c r="BL48" s="75"/>
      <c r="BM48" s="75">
        <v>32800</v>
      </c>
      <c r="BN48" s="75">
        <f t="shared" si="14"/>
        <v>33383.840000000004</v>
      </c>
      <c r="BO48" s="143">
        <v>1.78E-2</v>
      </c>
      <c r="BP48" s="157"/>
      <c r="BQ48" s="26"/>
    </row>
    <row r="49" spans="1:71" x14ac:dyDescent="0.25">
      <c r="A49" s="6">
        <v>50515</v>
      </c>
      <c r="B49" s="35" t="s">
        <v>180</v>
      </c>
      <c r="C49" s="75">
        <v>0</v>
      </c>
      <c r="D49" s="75">
        <v>12000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f t="shared" si="9"/>
        <v>12000</v>
      </c>
      <c r="M49" s="75"/>
      <c r="N49" s="79">
        <v>0</v>
      </c>
      <c r="O49" s="79">
        <v>0</v>
      </c>
      <c r="P49" s="75">
        <v>0</v>
      </c>
      <c r="Q49" s="75">
        <v>0</v>
      </c>
      <c r="R49" s="79">
        <v>9794</v>
      </c>
      <c r="S49" s="79">
        <v>0</v>
      </c>
      <c r="T49" s="75">
        <v>1072</v>
      </c>
      <c r="U49" s="75">
        <v>0</v>
      </c>
      <c r="V49" s="79">
        <v>0</v>
      </c>
      <c r="W49" s="79">
        <v>0</v>
      </c>
      <c r="X49" s="112">
        <v>74700</v>
      </c>
      <c r="Y49" s="112">
        <v>0</v>
      </c>
      <c r="Z49" s="79">
        <v>0</v>
      </c>
      <c r="AA49" s="80">
        <v>0</v>
      </c>
      <c r="AB49" s="112">
        <v>0</v>
      </c>
      <c r="AC49" s="112">
        <v>0</v>
      </c>
      <c r="AD49" s="81">
        <v>0</v>
      </c>
      <c r="AE49" s="81">
        <v>0</v>
      </c>
      <c r="AF49" s="79">
        <v>0</v>
      </c>
      <c r="AG49" s="114">
        <v>0</v>
      </c>
      <c r="AH49" s="82">
        <v>0</v>
      </c>
      <c r="AI49" s="82">
        <v>0</v>
      </c>
      <c r="AJ49" s="112">
        <v>12375</v>
      </c>
      <c r="AK49" s="112">
        <v>0</v>
      </c>
      <c r="AL49" s="79">
        <v>1556</v>
      </c>
      <c r="AM49" s="79">
        <v>0</v>
      </c>
      <c r="AN49" s="112">
        <v>8603</v>
      </c>
      <c r="AO49" s="116">
        <v>0</v>
      </c>
      <c r="AP49" s="79">
        <v>0</v>
      </c>
      <c r="AQ49" s="79">
        <v>0</v>
      </c>
      <c r="AR49" s="112">
        <v>21600</v>
      </c>
      <c r="AS49" s="112">
        <v>0</v>
      </c>
      <c r="AT49" s="79">
        <v>12000</v>
      </c>
      <c r="AU49" s="79">
        <v>0</v>
      </c>
      <c r="AV49" s="112">
        <v>0</v>
      </c>
      <c r="AW49" s="112">
        <v>0</v>
      </c>
      <c r="AX49" s="75">
        <f t="shared" si="10"/>
        <v>141700</v>
      </c>
      <c r="AY49" s="75"/>
      <c r="AZ49" s="75">
        <v>5000</v>
      </c>
      <c r="BA49" s="75"/>
      <c r="BB49" s="83">
        <f t="shared" si="11"/>
        <v>158700</v>
      </c>
      <c r="BD49" s="124">
        <f t="shared" si="12"/>
        <v>141700</v>
      </c>
      <c r="BE49" s="124">
        <f t="shared" si="13"/>
        <v>0</v>
      </c>
      <c r="BI49" s="5">
        <v>309635</v>
      </c>
      <c r="BL49" s="75"/>
      <c r="BM49" s="75">
        <v>141700</v>
      </c>
      <c r="BN49" s="75">
        <f t="shared" si="14"/>
        <v>144222.26</v>
      </c>
      <c r="BO49" s="143">
        <v>1.78E-2</v>
      </c>
      <c r="BQ49" s="7"/>
    </row>
    <row r="50" spans="1:71" x14ac:dyDescent="0.25">
      <c r="A50" s="6">
        <v>50520</v>
      </c>
      <c r="B50" s="35" t="s">
        <v>79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f t="shared" si="9"/>
        <v>0</v>
      </c>
      <c r="M50" s="75"/>
      <c r="N50" s="79">
        <v>0</v>
      </c>
      <c r="O50" s="79">
        <v>0</v>
      </c>
      <c r="P50" s="75">
        <v>0</v>
      </c>
      <c r="Q50" s="75">
        <v>0</v>
      </c>
      <c r="R50" s="79">
        <v>0</v>
      </c>
      <c r="S50" s="79">
        <v>0</v>
      </c>
      <c r="T50" s="75">
        <v>0</v>
      </c>
      <c r="U50" s="75">
        <v>0</v>
      </c>
      <c r="V50" s="79">
        <v>0</v>
      </c>
      <c r="W50" s="79">
        <v>0</v>
      </c>
      <c r="X50" s="112">
        <v>24000</v>
      </c>
      <c r="Y50" s="112">
        <v>0</v>
      </c>
      <c r="Z50" s="79">
        <v>0</v>
      </c>
      <c r="AA50" s="80">
        <v>0</v>
      </c>
      <c r="AB50" s="112">
        <v>0</v>
      </c>
      <c r="AC50" s="112">
        <v>0</v>
      </c>
      <c r="AD50" s="81">
        <v>0</v>
      </c>
      <c r="AE50" s="81">
        <v>0</v>
      </c>
      <c r="AF50" s="79">
        <v>0</v>
      </c>
      <c r="AG50" s="114">
        <v>0</v>
      </c>
      <c r="AH50" s="82">
        <v>0</v>
      </c>
      <c r="AI50" s="82">
        <v>0</v>
      </c>
      <c r="AJ50" s="112">
        <v>0</v>
      </c>
      <c r="AK50" s="112">
        <v>0</v>
      </c>
      <c r="AL50" s="79">
        <v>0</v>
      </c>
      <c r="AM50" s="79">
        <v>0</v>
      </c>
      <c r="AN50" s="112">
        <v>0</v>
      </c>
      <c r="AO50" s="116">
        <v>0</v>
      </c>
      <c r="AP50" s="79">
        <v>0</v>
      </c>
      <c r="AQ50" s="79">
        <v>0</v>
      </c>
      <c r="AR50" s="112">
        <v>0</v>
      </c>
      <c r="AS50" s="112">
        <v>0</v>
      </c>
      <c r="AT50" s="79">
        <v>0</v>
      </c>
      <c r="AU50" s="79">
        <v>0</v>
      </c>
      <c r="AV50" s="112">
        <v>0</v>
      </c>
      <c r="AW50" s="112">
        <v>0</v>
      </c>
      <c r="AX50" s="75">
        <f t="shared" si="10"/>
        <v>24000</v>
      </c>
      <c r="AY50" s="75"/>
      <c r="AZ50" s="75">
        <v>84768</v>
      </c>
      <c r="BA50" s="75"/>
      <c r="BB50" s="83">
        <f t="shared" si="11"/>
        <v>108768</v>
      </c>
      <c r="BD50" s="124">
        <f t="shared" si="12"/>
        <v>24000</v>
      </c>
      <c r="BE50" s="124">
        <f t="shared" si="13"/>
        <v>0</v>
      </c>
      <c r="BI50" s="5">
        <v>169538</v>
      </c>
      <c r="BL50" s="75"/>
      <c r="BM50" s="75">
        <v>24000</v>
      </c>
      <c r="BN50" s="75">
        <f t="shared" si="14"/>
        <v>24427.200000000001</v>
      </c>
      <c r="BO50" s="143">
        <v>1.78E-2</v>
      </c>
      <c r="BP50" s="148"/>
      <c r="BQ50" s="7"/>
    </row>
    <row r="51" spans="1:71" x14ac:dyDescent="0.25">
      <c r="A51" s="6">
        <v>50525</v>
      </c>
      <c r="B51" s="35" t="s">
        <v>80</v>
      </c>
      <c r="C51" s="75">
        <v>0</v>
      </c>
      <c r="D51" s="75">
        <v>11600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f t="shared" si="9"/>
        <v>11600</v>
      </c>
      <c r="M51" s="75"/>
      <c r="N51" s="79">
        <v>0</v>
      </c>
      <c r="O51" s="79">
        <v>0</v>
      </c>
      <c r="P51" s="75">
        <v>0</v>
      </c>
      <c r="Q51" s="75">
        <v>0</v>
      </c>
      <c r="R51" s="79">
        <v>0</v>
      </c>
      <c r="S51" s="79">
        <v>0</v>
      </c>
      <c r="T51" s="75">
        <v>0</v>
      </c>
      <c r="U51" s="75">
        <v>0</v>
      </c>
      <c r="V51" s="79">
        <v>0</v>
      </c>
      <c r="W51" s="79">
        <v>0</v>
      </c>
      <c r="X51" s="112">
        <v>45600</v>
      </c>
      <c r="Y51" s="112">
        <v>0</v>
      </c>
      <c r="Z51" s="79">
        <v>0</v>
      </c>
      <c r="AA51" s="80">
        <v>0</v>
      </c>
      <c r="AB51" s="112">
        <v>0</v>
      </c>
      <c r="AC51" s="112">
        <v>0</v>
      </c>
      <c r="AD51" s="81">
        <v>0</v>
      </c>
      <c r="AE51" s="81">
        <v>0</v>
      </c>
      <c r="AF51" s="79">
        <v>0</v>
      </c>
      <c r="AG51" s="114">
        <v>0</v>
      </c>
      <c r="AH51" s="82">
        <v>0</v>
      </c>
      <c r="AI51" s="82">
        <v>0</v>
      </c>
      <c r="AJ51" s="112">
        <v>0</v>
      </c>
      <c r="AK51" s="112">
        <v>0</v>
      </c>
      <c r="AL51" s="79">
        <v>0</v>
      </c>
      <c r="AM51" s="79">
        <v>0</v>
      </c>
      <c r="AN51" s="112">
        <v>0</v>
      </c>
      <c r="AO51" s="116">
        <v>0</v>
      </c>
      <c r="AP51" s="79">
        <v>0</v>
      </c>
      <c r="AQ51" s="79">
        <v>0</v>
      </c>
      <c r="AR51" s="112">
        <v>0</v>
      </c>
      <c r="AS51" s="112">
        <v>0</v>
      </c>
      <c r="AT51" s="79">
        <v>0</v>
      </c>
      <c r="AU51" s="79">
        <v>0</v>
      </c>
      <c r="AV51" s="112">
        <v>0</v>
      </c>
      <c r="AW51" s="112">
        <v>0</v>
      </c>
      <c r="AX51" s="75">
        <f t="shared" si="10"/>
        <v>45600</v>
      </c>
      <c r="AY51" s="75"/>
      <c r="AZ51" s="75">
        <v>160000</v>
      </c>
      <c r="BA51" s="75"/>
      <c r="BB51" s="83">
        <f t="shared" si="11"/>
        <v>217200</v>
      </c>
      <c r="BD51" s="124">
        <f t="shared" si="12"/>
        <v>45600</v>
      </c>
      <c r="BE51" s="124">
        <f t="shared" si="13"/>
        <v>0</v>
      </c>
      <c r="BI51" s="5">
        <v>138678</v>
      </c>
      <c r="BL51" s="75"/>
      <c r="BM51" s="75">
        <v>45600</v>
      </c>
      <c r="BN51" s="75">
        <f t="shared" si="14"/>
        <v>46411.68</v>
      </c>
      <c r="BO51" s="143">
        <v>1.78E-2</v>
      </c>
      <c r="BP51" s="148"/>
      <c r="BQ51" s="7"/>
    </row>
    <row r="52" spans="1:71" x14ac:dyDescent="0.25">
      <c r="A52" s="6">
        <v>50530</v>
      </c>
      <c r="B52" s="35" t="s">
        <v>81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f t="shared" si="9"/>
        <v>0</v>
      </c>
      <c r="M52" s="75"/>
      <c r="N52" s="79">
        <v>0</v>
      </c>
      <c r="O52" s="79">
        <v>0</v>
      </c>
      <c r="P52" s="75">
        <v>0</v>
      </c>
      <c r="Q52" s="75">
        <v>0</v>
      </c>
      <c r="R52" s="79">
        <v>0</v>
      </c>
      <c r="S52" s="79">
        <v>0</v>
      </c>
      <c r="T52" s="75">
        <v>0</v>
      </c>
      <c r="U52" s="75">
        <v>0</v>
      </c>
      <c r="V52" s="79">
        <v>0</v>
      </c>
      <c r="W52" s="79">
        <v>0</v>
      </c>
      <c r="X52" s="112">
        <v>6000</v>
      </c>
      <c r="Y52" s="112">
        <v>0</v>
      </c>
      <c r="Z52" s="79">
        <v>0</v>
      </c>
      <c r="AA52" s="80">
        <v>0</v>
      </c>
      <c r="AB52" s="112">
        <v>0</v>
      </c>
      <c r="AC52" s="112">
        <v>0</v>
      </c>
      <c r="AD52" s="81">
        <v>0</v>
      </c>
      <c r="AE52" s="81">
        <v>0</v>
      </c>
      <c r="AF52" s="79">
        <v>0</v>
      </c>
      <c r="AG52" s="114">
        <v>0</v>
      </c>
      <c r="AH52" s="82">
        <v>0</v>
      </c>
      <c r="AI52" s="82">
        <v>0</v>
      </c>
      <c r="AJ52" s="112">
        <v>0</v>
      </c>
      <c r="AK52" s="112">
        <v>0</v>
      </c>
      <c r="AL52" s="79">
        <v>0</v>
      </c>
      <c r="AM52" s="79">
        <v>0</v>
      </c>
      <c r="AN52" s="112">
        <v>0</v>
      </c>
      <c r="AO52" s="116">
        <v>0</v>
      </c>
      <c r="AP52" s="79">
        <v>0</v>
      </c>
      <c r="AQ52" s="79">
        <v>0</v>
      </c>
      <c r="AR52" s="112">
        <v>0</v>
      </c>
      <c r="AS52" s="112">
        <v>0</v>
      </c>
      <c r="AT52" s="79">
        <v>0</v>
      </c>
      <c r="AU52" s="79">
        <v>0</v>
      </c>
      <c r="AV52" s="112">
        <v>0</v>
      </c>
      <c r="AW52" s="112">
        <v>0</v>
      </c>
      <c r="AX52" s="75">
        <f t="shared" si="10"/>
        <v>6000</v>
      </c>
      <c r="AY52" s="75"/>
      <c r="AZ52" s="75">
        <v>16000</v>
      </c>
      <c r="BA52" s="75"/>
      <c r="BB52" s="83">
        <f t="shared" si="11"/>
        <v>22000</v>
      </c>
      <c r="BD52" s="124">
        <f t="shared" si="12"/>
        <v>6000</v>
      </c>
      <c r="BE52" s="124">
        <f t="shared" si="13"/>
        <v>0</v>
      </c>
      <c r="BI52" s="5">
        <f>BI49-SUM(BI50:BI51)</f>
        <v>1419</v>
      </c>
      <c r="BL52" s="75"/>
      <c r="BM52" s="75">
        <v>6000</v>
      </c>
      <c r="BN52" s="75">
        <f t="shared" si="14"/>
        <v>6106.8</v>
      </c>
      <c r="BO52" s="143">
        <v>1.78E-2</v>
      </c>
    </row>
    <row r="53" spans="1:71" x14ac:dyDescent="0.25">
      <c r="A53" s="6">
        <v>50605</v>
      </c>
      <c r="B53" s="35" t="s">
        <v>82</v>
      </c>
      <c r="C53" s="75">
        <v>0</v>
      </c>
      <c r="D53" s="75">
        <v>0</v>
      </c>
      <c r="E53" s="75">
        <v>0</v>
      </c>
      <c r="F53" s="75">
        <v>864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f t="shared" si="9"/>
        <v>864</v>
      </c>
      <c r="M53" s="75"/>
      <c r="N53" s="79">
        <v>0</v>
      </c>
      <c r="O53" s="79">
        <v>0</v>
      </c>
      <c r="P53" s="75">
        <v>0</v>
      </c>
      <c r="Q53" s="75">
        <v>0</v>
      </c>
      <c r="R53" s="79">
        <v>0</v>
      </c>
      <c r="S53" s="79">
        <v>0</v>
      </c>
      <c r="T53" s="75">
        <v>0</v>
      </c>
      <c r="U53" s="75">
        <v>0</v>
      </c>
      <c r="V53" s="79">
        <v>0</v>
      </c>
      <c r="W53" s="79">
        <v>0</v>
      </c>
      <c r="X53" s="112">
        <v>0</v>
      </c>
      <c r="Y53" s="112">
        <v>0</v>
      </c>
      <c r="Z53" s="79">
        <v>0</v>
      </c>
      <c r="AA53" s="80">
        <v>0</v>
      </c>
      <c r="AB53" s="112">
        <v>0</v>
      </c>
      <c r="AC53" s="112">
        <v>0</v>
      </c>
      <c r="AD53" s="81">
        <v>0</v>
      </c>
      <c r="AE53" s="81">
        <v>0</v>
      </c>
      <c r="AF53" s="79">
        <v>0</v>
      </c>
      <c r="AG53" s="114">
        <v>0</v>
      </c>
      <c r="AH53" s="82">
        <v>0</v>
      </c>
      <c r="AI53" s="82">
        <v>0</v>
      </c>
      <c r="AJ53" s="112">
        <v>0</v>
      </c>
      <c r="AK53" s="112">
        <v>0</v>
      </c>
      <c r="AL53" s="79">
        <v>0</v>
      </c>
      <c r="AM53" s="79">
        <v>0</v>
      </c>
      <c r="AN53" s="112">
        <v>0</v>
      </c>
      <c r="AO53" s="116">
        <v>0</v>
      </c>
      <c r="AP53" s="79">
        <v>0</v>
      </c>
      <c r="AQ53" s="79">
        <v>0</v>
      </c>
      <c r="AR53" s="112">
        <v>0</v>
      </c>
      <c r="AS53" s="112">
        <v>0</v>
      </c>
      <c r="AT53" s="79">
        <v>0</v>
      </c>
      <c r="AU53" s="79">
        <v>0</v>
      </c>
      <c r="AV53" s="112">
        <v>0</v>
      </c>
      <c r="AW53" s="112">
        <v>0</v>
      </c>
      <c r="AX53" s="75">
        <f t="shared" si="10"/>
        <v>0</v>
      </c>
      <c r="AY53" s="75"/>
      <c r="AZ53" s="75">
        <v>795096</v>
      </c>
      <c r="BA53" s="75"/>
      <c r="BB53" s="83">
        <f t="shared" si="11"/>
        <v>795960</v>
      </c>
      <c r="BD53" s="124">
        <f t="shared" si="12"/>
        <v>0</v>
      </c>
      <c r="BE53" s="124">
        <f t="shared" si="13"/>
        <v>0</v>
      </c>
      <c r="BL53" s="75"/>
      <c r="BM53" s="75">
        <v>0</v>
      </c>
      <c r="BN53" s="75">
        <f t="shared" si="14"/>
        <v>0</v>
      </c>
      <c r="BO53" s="143">
        <v>1.78E-2</v>
      </c>
      <c r="BP53" s="147"/>
      <c r="BQ53" s="24"/>
    </row>
    <row r="54" spans="1:71" x14ac:dyDescent="0.25">
      <c r="A54" s="6">
        <v>50610</v>
      </c>
      <c r="B54" s="35" t="s">
        <v>83</v>
      </c>
      <c r="C54" s="75">
        <v>0</v>
      </c>
      <c r="D54" s="75">
        <v>0</v>
      </c>
      <c r="E54" s="75">
        <v>0</v>
      </c>
      <c r="F54" s="75">
        <v>852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f t="shared" si="9"/>
        <v>852</v>
      </c>
      <c r="M54" s="75"/>
      <c r="N54" s="79">
        <v>0</v>
      </c>
      <c r="O54" s="79">
        <v>0</v>
      </c>
      <c r="P54" s="75">
        <v>0</v>
      </c>
      <c r="Q54" s="75">
        <v>0</v>
      </c>
      <c r="R54" s="79">
        <v>0</v>
      </c>
      <c r="S54" s="79">
        <v>0</v>
      </c>
      <c r="T54" s="75">
        <v>0</v>
      </c>
      <c r="U54" s="75">
        <v>0</v>
      </c>
      <c r="V54" s="79">
        <v>0</v>
      </c>
      <c r="W54" s="79">
        <v>0</v>
      </c>
      <c r="X54" s="112">
        <v>0</v>
      </c>
      <c r="Y54" s="112">
        <v>0</v>
      </c>
      <c r="Z54" s="79">
        <v>0</v>
      </c>
      <c r="AA54" s="80">
        <v>0</v>
      </c>
      <c r="AB54" s="112">
        <v>0</v>
      </c>
      <c r="AC54" s="112">
        <v>0</v>
      </c>
      <c r="AD54" s="81">
        <v>0</v>
      </c>
      <c r="AE54" s="81">
        <v>0</v>
      </c>
      <c r="AF54" s="79">
        <v>0</v>
      </c>
      <c r="AG54" s="114">
        <v>0</v>
      </c>
      <c r="AH54" s="82">
        <v>0</v>
      </c>
      <c r="AI54" s="82">
        <v>0</v>
      </c>
      <c r="AJ54" s="112">
        <v>0</v>
      </c>
      <c r="AK54" s="112">
        <v>0</v>
      </c>
      <c r="AL54" s="79">
        <v>0</v>
      </c>
      <c r="AM54" s="79">
        <v>0</v>
      </c>
      <c r="AN54" s="112">
        <v>0</v>
      </c>
      <c r="AO54" s="116">
        <v>0</v>
      </c>
      <c r="AP54" s="79">
        <v>0</v>
      </c>
      <c r="AQ54" s="79">
        <v>0</v>
      </c>
      <c r="AR54" s="112">
        <v>0</v>
      </c>
      <c r="AS54" s="112">
        <v>0</v>
      </c>
      <c r="AT54" s="79">
        <v>0</v>
      </c>
      <c r="AU54" s="79">
        <v>0</v>
      </c>
      <c r="AV54" s="112">
        <v>18876</v>
      </c>
      <c r="AW54" s="112">
        <v>0</v>
      </c>
      <c r="AX54" s="75">
        <f t="shared" si="10"/>
        <v>18876</v>
      </c>
      <c r="AY54" s="75"/>
      <c r="AZ54" s="75">
        <v>91188</v>
      </c>
      <c r="BA54" s="75"/>
      <c r="BB54" s="83">
        <f t="shared" si="11"/>
        <v>110916</v>
      </c>
      <c r="BD54" s="124">
        <f t="shared" si="12"/>
        <v>18876</v>
      </c>
      <c r="BE54" s="124">
        <f t="shared" si="13"/>
        <v>0</v>
      </c>
      <c r="BL54" s="75"/>
      <c r="BM54" s="75">
        <v>18876</v>
      </c>
      <c r="BN54" s="75">
        <f t="shared" si="14"/>
        <v>19211.9928</v>
      </c>
      <c r="BO54" s="143">
        <v>1.78E-2</v>
      </c>
      <c r="BQ54" s="7"/>
      <c r="BR54" s="13"/>
    </row>
    <row r="55" spans="1:71" x14ac:dyDescent="0.25">
      <c r="A55" s="6">
        <v>50615</v>
      </c>
      <c r="B55" s="35" t="s">
        <v>84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f t="shared" si="9"/>
        <v>0</v>
      </c>
      <c r="M55" s="75"/>
      <c r="N55" s="79">
        <v>0</v>
      </c>
      <c r="O55" s="79">
        <v>0</v>
      </c>
      <c r="P55" s="75">
        <v>0</v>
      </c>
      <c r="Q55" s="75">
        <v>0</v>
      </c>
      <c r="R55" s="79">
        <v>0</v>
      </c>
      <c r="S55" s="79">
        <v>0</v>
      </c>
      <c r="T55" s="75">
        <v>0</v>
      </c>
      <c r="U55" s="75">
        <v>0</v>
      </c>
      <c r="V55" s="79">
        <v>0</v>
      </c>
      <c r="W55" s="79">
        <v>0</v>
      </c>
      <c r="X55" s="112">
        <v>0</v>
      </c>
      <c r="Y55" s="112">
        <v>0</v>
      </c>
      <c r="Z55" s="79">
        <v>0</v>
      </c>
      <c r="AA55" s="80">
        <v>0</v>
      </c>
      <c r="AB55" s="112">
        <v>0</v>
      </c>
      <c r="AC55" s="112">
        <v>0</v>
      </c>
      <c r="AD55" s="81">
        <v>0</v>
      </c>
      <c r="AE55" s="81">
        <v>0</v>
      </c>
      <c r="AF55" s="79">
        <v>0</v>
      </c>
      <c r="AG55" s="114">
        <v>0</v>
      </c>
      <c r="AH55" s="82">
        <v>0</v>
      </c>
      <c r="AI55" s="82">
        <v>0</v>
      </c>
      <c r="AJ55" s="112">
        <v>0</v>
      </c>
      <c r="AK55" s="112">
        <v>0</v>
      </c>
      <c r="AL55" s="79">
        <v>0</v>
      </c>
      <c r="AM55" s="79">
        <v>0</v>
      </c>
      <c r="AN55" s="112">
        <v>0</v>
      </c>
      <c r="AO55" s="116">
        <v>0</v>
      </c>
      <c r="AP55" s="79">
        <v>0</v>
      </c>
      <c r="AQ55" s="79">
        <v>0</v>
      </c>
      <c r="AR55" s="112">
        <v>0</v>
      </c>
      <c r="AS55" s="112">
        <v>0</v>
      </c>
      <c r="AT55" s="79">
        <v>0</v>
      </c>
      <c r="AU55" s="79">
        <v>0</v>
      </c>
      <c r="AV55" s="112">
        <v>0</v>
      </c>
      <c r="AW55" s="112">
        <v>0</v>
      </c>
      <c r="AX55" s="75">
        <f t="shared" si="10"/>
        <v>0</v>
      </c>
      <c r="AY55" s="75"/>
      <c r="AZ55" s="75">
        <v>450816</v>
      </c>
      <c r="BA55" s="75"/>
      <c r="BB55" s="83">
        <f t="shared" si="11"/>
        <v>450816</v>
      </c>
      <c r="BD55" s="124">
        <f t="shared" si="12"/>
        <v>0</v>
      </c>
      <c r="BE55" s="124">
        <f t="shared" si="13"/>
        <v>0</v>
      </c>
      <c r="BL55" s="75"/>
      <c r="BM55" s="75">
        <v>0</v>
      </c>
      <c r="BN55" s="75">
        <f t="shared" si="14"/>
        <v>0</v>
      </c>
      <c r="BO55" s="143">
        <v>1.78E-2</v>
      </c>
      <c r="BP55" s="148"/>
      <c r="BQ55" s="7"/>
    </row>
    <row r="56" spans="1:71" x14ac:dyDescent="0.25">
      <c r="A56" s="6">
        <v>50620</v>
      </c>
      <c r="B56" s="35" t="s">
        <v>85</v>
      </c>
      <c r="C56" s="75">
        <v>0</v>
      </c>
      <c r="D56" s="75">
        <v>0</v>
      </c>
      <c r="E56" s="75">
        <v>0</v>
      </c>
      <c r="F56" s="75">
        <v>3948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f t="shared" si="9"/>
        <v>3948</v>
      </c>
      <c r="M56" s="75"/>
      <c r="N56" s="79">
        <v>0</v>
      </c>
      <c r="O56" s="79">
        <v>0</v>
      </c>
      <c r="P56" s="75">
        <v>0</v>
      </c>
      <c r="Q56" s="75">
        <v>0</v>
      </c>
      <c r="R56" s="79">
        <v>0</v>
      </c>
      <c r="S56" s="79">
        <v>0</v>
      </c>
      <c r="T56" s="75">
        <v>0</v>
      </c>
      <c r="U56" s="75">
        <v>0</v>
      </c>
      <c r="V56" s="79">
        <v>0</v>
      </c>
      <c r="W56" s="79">
        <v>0</v>
      </c>
      <c r="X56" s="112">
        <v>0</v>
      </c>
      <c r="Y56" s="112">
        <v>0</v>
      </c>
      <c r="Z56" s="79">
        <v>0</v>
      </c>
      <c r="AA56" s="80">
        <v>0</v>
      </c>
      <c r="AB56" s="112">
        <v>0</v>
      </c>
      <c r="AC56" s="112">
        <v>0</v>
      </c>
      <c r="AD56" s="81">
        <v>0</v>
      </c>
      <c r="AE56" s="81">
        <v>0</v>
      </c>
      <c r="AF56" s="79">
        <v>0</v>
      </c>
      <c r="AG56" s="114">
        <v>0</v>
      </c>
      <c r="AH56" s="82">
        <v>0</v>
      </c>
      <c r="AI56" s="82">
        <v>0</v>
      </c>
      <c r="AJ56" s="112">
        <v>0</v>
      </c>
      <c r="AK56" s="112">
        <v>0</v>
      </c>
      <c r="AL56" s="79">
        <v>0</v>
      </c>
      <c r="AM56" s="79">
        <v>0</v>
      </c>
      <c r="AN56" s="112">
        <v>0</v>
      </c>
      <c r="AO56" s="116">
        <v>0</v>
      </c>
      <c r="AP56" s="79">
        <v>0</v>
      </c>
      <c r="AQ56" s="79">
        <v>0</v>
      </c>
      <c r="AR56" s="112">
        <v>0</v>
      </c>
      <c r="AS56" s="112">
        <v>0</v>
      </c>
      <c r="AT56" s="79">
        <v>0</v>
      </c>
      <c r="AU56" s="79">
        <v>0</v>
      </c>
      <c r="AV56" s="112">
        <v>0</v>
      </c>
      <c r="AW56" s="112">
        <v>0</v>
      </c>
      <c r="AX56" s="75">
        <f t="shared" ref="AX56:AX78" si="15">SUM(N56:AW56)</f>
        <v>0</v>
      </c>
      <c r="AY56" s="75"/>
      <c r="AZ56" s="75">
        <v>0</v>
      </c>
      <c r="BA56" s="75"/>
      <c r="BB56" s="83">
        <f t="shared" si="11"/>
        <v>3948</v>
      </c>
      <c r="BD56" s="124">
        <f t="shared" si="12"/>
        <v>0</v>
      </c>
      <c r="BE56" s="124">
        <f t="shared" si="13"/>
        <v>0</v>
      </c>
      <c r="BL56" s="75"/>
      <c r="BM56" s="75">
        <v>0</v>
      </c>
      <c r="BN56" s="75">
        <f t="shared" si="14"/>
        <v>0</v>
      </c>
      <c r="BO56" s="143">
        <v>1.78E-2</v>
      </c>
      <c r="BQ56" s="26"/>
    </row>
    <row r="57" spans="1:71" x14ac:dyDescent="0.25">
      <c r="A57" s="6">
        <v>50625</v>
      </c>
      <c r="B57" s="35" t="s">
        <v>86</v>
      </c>
      <c r="C57" s="75">
        <v>0</v>
      </c>
      <c r="D57" s="75">
        <v>0</v>
      </c>
      <c r="E57" s="75">
        <v>0</v>
      </c>
      <c r="F57" s="75">
        <v>5112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f t="shared" si="9"/>
        <v>5112</v>
      </c>
      <c r="M57" s="75"/>
      <c r="N57" s="79">
        <v>0</v>
      </c>
      <c r="O57" s="79">
        <v>0</v>
      </c>
      <c r="P57" s="75">
        <v>0</v>
      </c>
      <c r="Q57" s="75">
        <v>0</v>
      </c>
      <c r="R57" s="79">
        <v>0</v>
      </c>
      <c r="S57" s="79">
        <v>0</v>
      </c>
      <c r="T57" s="75">
        <v>0</v>
      </c>
      <c r="U57" s="75">
        <v>0</v>
      </c>
      <c r="V57" s="79">
        <v>0</v>
      </c>
      <c r="W57" s="79">
        <v>0</v>
      </c>
      <c r="X57" s="112">
        <v>0</v>
      </c>
      <c r="Y57" s="112">
        <v>0</v>
      </c>
      <c r="Z57" s="79">
        <v>0</v>
      </c>
      <c r="AA57" s="80">
        <v>0</v>
      </c>
      <c r="AB57" s="112">
        <v>0</v>
      </c>
      <c r="AC57" s="112">
        <v>0</v>
      </c>
      <c r="AD57" s="81">
        <v>0</v>
      </c>
      <c r="AE57" s="81">
        <v>0</v>
      </c>
      <c r="AF57" s="79">
        <v>0</v>
      </c>
      <c r="AG57" s="114">
        <v>0</v>
      </c>
      <c r="AH57" s="82">
        <v>0</v>
      </c>
      <c r="AI57" s="82">
        <v>0</v>
      </c>
      <c r="AJ57" s="112">
        <v>0</v>
      </c>
      <c r="AK57" s="112">
        <v>0</v>
      </c>
      <c r="AL57" s="79">
        <v>0</v>
      </c>
      <c r="AM57" s="79">
        <v>0</v>
      </c>
      <c r="AN57" s="112">
        <v>0</v>
      </c>
      <c r="AO57" s="116">
        <v>0</v>
      </c>
      <c r="AP57" s="79">
        <v>0</v>
      </c>
      <c r="AQ57" s="79">
        <v>0</v>
      </c>
      <c r="AR57" s="112">
        <v>0</v>
      </c>
      <c r="AS57" s="112">
        <v>0</v>
      </c>
      <c r="AT57" s="79">
        <v>0</v>
      </c>
      <c r="AU57" s="79">
        <v>0</v>
      </c>
      <c r="AV57" s="112">
        <v>0</v>
      </c>
      <c r="AW57" s="112">
        <v>0</v>
      </c>
      <c r="AX57" s="75">
        <f t="shared" si="15"/>
        <v>0</v>
      </c>
      <c r="AY57" s="75"/>
      <c r="AZ57" s="75">
        <v>0</v>
      </c>
      <c r="BA57" s="75"/>
      <c r="BB57" s="83">
        <f t="shared" si="11"/>
        <v>5112</v>
      </c>
      <c r="BD57" s="124">
        <f t="shared" si="12"/>
        <v>0</v>
      </c>
      <c r="BE57" s="124">
        <f t="shared" si="13"/>
        <v>0</v>
      </c>
      <c r="BL57" s="75"/>
      <c r="BM57" s="75">
        <v>0</v>
      </c>
      <c r="BN57" s="75">
        <f t="shared" si="14"/>
        <v>0</v>
      </c>
      <c r="BO57" s="143">
        <v>1.78E-2</v>
      </c>
    </row>
    <row r="58" spans="1:71" x14ac:dyDescent="0.25">
      <c r="A58" s="6">
        <v>50630</v>
      </c>
      <c r="B58" s="35" t="s">
        <v>87</v>
      </c>
      <c r="C58" s="75">
        <v>0</v>
      </c>
      <c r="D58" s="75">
        <v>0</v>
      </c>
      <c r="E58" s="75">
        <v>0</v>
      </c>
      <c r="F58" s="75">
        <v>2172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f t="shared" si="9"/>
        <v>2172</v>
      </c>
      <c r="M58" s="75"/>
      <c r="N58" s="79">
        <v>0</v>
      </c>
      <c r="O58" s="79">
        <v>32256</v>
      </c>
      <c r="P58" s="75">
        <v>0</v>
      </c>
      <c r="Q58" s="75">
        <v>0</v>
      </c>
      <c r="R58" s="79">
        <v>0</v>
      </c>
      <c r="S58" s="79">
        <v>3936</v>
      </c>
      <c r="T58" s="75">
        <v>0</v>
      </c>
      <c r="U58" s="75">
        <v>462</v>
      </c>
      <c r="V58" s="79">
        <v>0</v>
      </c>
      <c r="W58" s="79">
        <v>0</v>
      </c>
      <c r="X58" s="112">
        <v>0</v>
      </c>
      <c r="Y58" s="112">
        <v>336</v>
      </c>
      <c r="Z58" s="79">
        <v>0</v>
      </c>
      <c r="AA58" s="80">
        <v>0</v>
      </c>
      <c r="AB58" s="112">
        <v>0</v>
      </c>
      <c r="AC58" s="112">
        <v>30024</v>
      </c>
      <c r="AD58" s="81">
        <v>0</v>
      </c>
      <c r="AE58" s="81">
        <v>0</v>
      </c>
      <c r="AF58" s="79">
        <v>0</v>
      </c>
      <c r="AG58" s="114">
        <v>15876</v>
      </c>
      <c r="AH58" s="82">
        <v>0</v>
      </c>
      <c r="AI58" s="82">
        <v>0</v>
      </c>
      <c r="AJ58" s="112">
        <v>0</v>
      </c>
      <c r="AK58" s="112">
        <v>8928</v>
      </c>
      <c r="AL58" s="79">
        <v>0</v>
      </c>
      <c r="AM58" s="79">
        <v>996</v>
      </c>
      <c r="AN58" s="112">
        <v>0</v>
      </c>
      <c r="AO58" s="116">
        <v>8808</v>
      </c>
      <c r="AP58" s="79">
        <v>0</v>
      </c>
      <c r="AQ58" s="79">
        <v>3996</v>
      </c>
      <c r="AR58" s="112">
        <v>0</v>
      </c>
      <c r="AS58" s="112">
        <v>492</v>
      </c>
      <c r="AT58" s="79">
        <v>0</v>
      </c>
      <c r="AU58" s="79">
        <v>588</v>
      </c>
      <c r="AV58" s="112">
        <v>0</v>
      </c>
      <c r="AW58" s="112">
        <v>12180</v>
      </c>
      <c r="AX58" s="75">
        <f t="shared" si="15"/>
        <v>118878</v>
      </c>
      <c r="AY58" s="75"/>
      <c r="AZ58" s="75">
        <v>0</v>
      </c>
      <c r="BA58" s="75"/>
      <c r="BB58" s="83">
        <f t="shared" si="11"/>
        <v>121050</v>
      </c>
      <c r="BD58" s="124">
        <f t="shared" si="12"/>
        <v>0</v>
      </c>
      <c r="BE58" s="124">
        <f t="shared" si="13"/>
        <v>118878</v>
      </c>
      <c r="BL58" s="75"/>
      <c r="BM58" s="75">
        <v>118878</v>
      </c>
      <c r="BN58" s="75">
        <f t="shared" si="14"/>
        <v>120994.02840000001</v>
      </c>
      <c r="BO58" s="143">
        <v>1.78E-2</v>
      </c>
      <c r="BQ58" s="7"/>
    </row>
    <row r="59" spans="1:71" ht="14.25" customHeight="1" x14ac:dyDescent="0.25">
      <c r="A59" s="6">
        <v>50635</v>
      </c>
      <c r="B59" s="35" t="s">
        <v>88</v>
      </c>
      <c r="C59" s="75">
        <v>0</v>
      </c>
      <c r="D59" s="75">
        <v>0</v>
      </c>
      <c r="E59" s="75">
        <v>0</v>
      </c>
      <c r="F59" s="75">
        <v>840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f t="shared" si="9"/>
        <v>840</v>
      </c>
      <c r="M59" s="75"/>
      <c r="N59" s="79">
        <v>85224</v>
      </c>
      <c r="O59" s="79">
        <v>0</v>
      </c>
      <c r="P59" s="75">
        <v>0</v>
      </c>
      <c r="Q59" s="75">
        <v>0</v>
      </c>
      <c r="R59" s="79">
        <v>20148</v>
      </c>
      <c r="S59" s="79">
        <v>0</v>
      </c>
      <c r="T59" s="75">
        <v>2187</v>
      </c>
      <c r="U59" s="75">
        <v>0</v>
      </c>
      <c r="V59" s="79">
        <v>0</v>
      </c>
      <c r="W59" s="79">
        <v>0</v>
      </c>
      <c r="X59" s="112">
        <v>0</v>
      </c>
      <c r="Y59" s="112">
        <v>0</v>
      </c>
      <c r="Z59" s="79">
        <v>0</v>
      </c>
      <c r="AA59" s="80">
        <v>0</v>
      </c>
      <c r="AB59" s="112">
        <v>92832</v>
      </c>
      <c r="AC59" s="112">
        <v>0</v>
      </c>
      <c r="AD59" s="81">
        <v>0</v>
      </c>
      <c r="AE59" s="81">
        <v>0</v>
      </c>
      <c r="AF59" s="79">
        <v>56340</v>
      </c>
      <c r="AG59" s="114">
        <v>0</v>
      </c>
      <c r="AH59" s="82">
        <v>0</v>
      </c>
      <c r="AI59" s="82">
        <v>0</v>
      </c>
      <c r="AJ59" s="112">
        <v>28140</v>
      </c>
      <c r="AK59" s="112">
        <v>0</v>
      </c>
      <c r="AL59" s="79">
        <v>3372</v>
      </c>
      <c r="AM59" s="79">
        <v>0</v>
      </c>
      <c r="AN59" s="112">
        <v>16860</v>
      </c>
      <c r="AO59" s="116">
        <v>0</v>
      </c>
      <c r="AP59" s="79">
        <v>0</v>
      </c>
      <c r="AQ59" s="79">
        <v>0</v>
      </c>
      <c r="AR59" s="112">
        <v>0</v>
      </c>
      <c r="AS59" s="112">
        <v>0</v>
      </c>
      <c r="AT59" s="79">
        <v>1980</v>
      </c>
      <c r="AU59" s="79">
        <v>0</v>
      </c>
      <c r="AV59" s="112">
        <v>2628</v>
      </c>
      <c r="AW59" s="112">
        <v>0</v>
      </c>
      <c r="AX59" s="75">
        <f t="shared" si="15"/>
        <v>309711</v>
      </c>
      <c r="AY59" s="75"/>
      <c r="AZ59" s="75">
        <v>1320</v>
      </c>
      <c r="BA59" s="75"/>
      <c r="BB59" s="83">
        <f t="shared" si="11"/>
        <v>311871</v>
      </c>
      <c r="BD59" s="124">
        <f t="shared" si="12"/>
        <v>309711</v>
      </c>
      <c r="BE59" s="124">
        <f t="shared" si="13"/>
        <v>0</v>
      </c>
      <c r="BL59" s="75"/>
      <c r="BM59" s="75">
        <v>309711</v>
      </c>
      <c r="BN59" s="75">
        <f t="shared" si="14"/>
        <v>315223.85580000002</v>
      </c>
      <c r="BO59" s="143">
        <v>1.78E-2</v>
      </c>
      <c r="BQ59" s="7"/>
    </row>
    <row r="60" spans="1:71" x14ac:dyDescent="0.25">
      <c r="A60" s="6">
        <v>50640</v>
      </c>
      <c r="B60" s="35" t="s">
        <v>89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f t="shared" si="9"/>
        <v>0</v>
      </c>
      <c r="M60" s="75"/>
      <c r="N60" s="79">
        <v>0</v>
      </c>
      <c r="O60" s="79">
        <v>0</v>
      </c>
      <c r="P60" s="75">
        <v>0</v>
      </c>
      <c r="Q60" s="75">
        <v>0</v>
      </c>
      <c r="R60" s="79">
        <v>0</v>
      </c>
      <c r="S60" s="79">
        <v>0</v>
      </c>
      <c r="T60" s="75">
        <v>0</v>
      </c>
      <c r="U60" s="75">
        <v>0</v>
      </c>
      <c r="V60" s="79">
        <v>0</v>
      </c>
      <c r="W60" s="79">
        <v>0</v>
      </c>
      <c r="X60" s="112">
        <v>0</v>
      </c>
      <c r="Y60" s="112">
        <v>0</v>
      </c>
      <c r="Z60" s="79">
        <v>0</v>
      </c>
      <c r="AA60" s="80">
        <v>0</v>
      </c>
      <c r="AB60" s="112">
        <v>0</v>
      </c>
      <c r="AC60" s="112">
        <v>0</v>
      </c>
      <c r="AD60" s="81">
        <v>0</v>
      </c>
      <c r="AE60" s="81">
        <v>0</v>
      </c>
      <c r="AF60" s="79">
        <v>0</v>
      </c>
      <c r="AG60" s="114">
        <v>0</v>
      </c>
      <c r="AH60" s="82">
        <v>0</v>
      </c>
      <c r="AI60" s="82">
        <v>0</v>
      </c>
      <c r="AJ60" s="112">
        <v>0</v>
      </c>
      <c r="AK60" s="112">
        <v>0</v>
      </c>
      <c r="AL60" s="79">
        <v>0</v>
      </c>
      <c r="AM60" s="79">
        <v>0</v>
      </c>
      <c r="AN60" s="112">
        <v>0</v>
      </c>
      <c r="AO60" s="116">
        <v>0</v>
      </c>
      <c r="AP60" s="79">
        <v>0</v>
      </c>
      <c r="AQ60" s="79">
        <v>0</v>
      </c>
      <c r="AR60" s="112">
        <v>0</v>
      </c>
      <c r="AS60" s="112">
        <v>0</v>
      </c>
      <c r="AT60" s="79">
        <v>0</v>
      </c>
      <c r="AU60" s="79">
        <v>0</v>
      </c>
      <c r="AV60" s="112">
        <v>0</v>
      </c>
      <c r="AW60" s="112">
        <v>0</v>
      </c>
      <c r="AX60" s="75">
        <f t="shared" si="15"/>
        <v>0</v>
      </c>
      <c r="AY60" s="75"/>
      <c r="AZ60" s="75">
        <v>541</v>
      </c>
      <c r="BA60" s="75"/>
      <c r="BB60" s="83">
        <f t="shared" si="11"/>
        <v>541</v>
      </c>
      <c r="BD60" s="124">
        <f t="shared" si="12"/>
        <v>0</v>
      </c>
      <c r="BE60" s="124">
        <f t="shared" si="13"/>
        <v>0</v>
      </c>
      <c r="BL60" s="75"/>
      <c r="BM60" s="75">
        <v>0</v>
      </c>
      <c r="BN60" s="75">
        <f t="shared" si="14"/>
        <v>0</v>
      </c>
      <c r="BO60" s="143">
        <v>1.78E-2</v>
      </c>
      <c r="BQ60" s="26"/>
    </row>
    <row r="61" spans="1:71" x14ac:dyDescent="0.25">
      <c r="A61" s="6">
        <v>50810</v>
      </c>
      <c r="B61" s="35" t="s">
        <v>90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f t="shared" si="9"/>
        <v>0</v>
      </c>
      <c r="M61" s="75"/>
      <c r="N61" s="79">
        <v>72000</v>
      </c>
      <c r="O61" s="79">
        <v>0</v>
      </c>
      <c r="P61" s="75">
        <v>0</v>
      </c>
      <c r="Q61" s="75">
        <v>0</v>
      </c>
      <c r="R61" s="79">
        <v>105448</v>
      </c>
      <c r="S61" s="79">
        <v>0</v>
      </c>
      <c r="T61" s="75">
        <v>25768</v>
      </c>
      <c r="U61" s="75">
        <v>0</v>
      </c>
      <c r="V61" s="79">
        <v>348980</v>
      </c>
      <c r="W61" s="79">
        <v>0</v>
      </c>
      <c r="X61" s="112">
        <v>0</v>
      </c>
      <c r="Y61" s="112">
        <v>0</v>
      </c>
      <c r="Z61" s="79">
        <v>0</v>
      </c>
      <c r="AA61" s="80">
        <v>0</v>
      </c>
      <c r="AB61" s="112">
        <v>0</v>
      </c>
      <c r="AC61" s="112">
        <v>0</v>
      </c>
      <c r="AD61" s="81">
        <v>0</v>
      </c>
      <c r="AE61" s="81">
        <v>0</v>
      </c>
      <c r="AF61" s="79">
        <v>0</v>
      </c>
      <c r="AG61" s="114">
        <v>0</v>
      </c>
      <c r="AH61" s="82">
        <v>0</v>
      </c>
      <c r="AI61" s="82">
        <v>0</v>
      </c>
      <c r="AJ61" s="112">
        <v>0</v>
      </c>
      <c r="AK61" s="112">
        <v>0</v>
      </c>
      <c r="AL61" s="79">
        <v>24000</v>
      </c>
      <c r="AM61" s="79">
        <v>0</v>
      </c>
      <c r="AN61" s="112">
        <v>1200</v>
      </c>
      <c r="AO61" s="116">
        <v>0</v>
      </c>
      <c r="AP61" s="101">
        <v>75000</v>
      </c>
      <c r="AQ61" s="79">
        <v>0</v>
      </c>
      <c r="AR61" s="112">
        <v>0</v>
      </c>
      <c r="AS61" s="112">
        <v>0</v>
      </c>
      <c r="AT61" s="79">
        <v>0</v>
      </c>
      <c r="AU61" s="79">
        <v>0</v>
      </c>
      <c r="AV61" s="112">
        <v>0</v>
      </c>
      <c r="AW61" s="112">
        <v>0</v>
      </c>
      <c r="AX61" s="75">
        <f t="shared" si="15"/>
        <v>652396</v>
      </c>
      <c r="AY61" s="75"/>
      <c r="AZ61" s="75">
        <f>9831850+248293</f>
        <v>10080143</v>
      </c>
      <c r="BA61" s="75"/>
      <c r="BB61" s="83">
        <f t="shared" si="11"/>
        <v>10732539</v>
      </c>
      <c r="BD61" s="124">
        <f t="shared" si="12"/>
        <v>652396</v>
      </c>
      <c r="BE61" s="124">
        <f t="shared" si="13"/>
        <v>0</v>
      </c>
      <c r="BL61" s="75"/>
      <c r="BM61" s="75">
        <v>652396</v>
      </c>
      <c r="BN61" s="75">
        <f t="shared" si="14"/>
        <v>664008.64880000008</v>
      </c>
      <c r="BO61" s="143">
        <v>1.78E-2</v>
      </c>
      <c r="BQ61" s="26"/>
    </row>
    <row r="62" spans="1:71" x14ac:dyDescent="0.25">
      <c r="A62" s="6">
        <v>50910</v>
      </c>
      <c r="B62" s="35" t="s">
        <v>91</v>
      </c>
      <c r="C62" s="75">
        <v>42840</v>
      </c>
      <c r="D62" s="75">
        <v>0</v>
      </c>
      <c r="E62" s="75">
        <v>0</v>
      </c>
      <c r="F62" s="75">
        <v>5908</v>
      </c>
      <c r="G62" s="75">
        <v>2660</v>
      </c>
      <c r="H62" s="75">
        <v>3915</v>
      </c>
      <c r="I62" s="75">
        <v>0</v>
      </c>
      <c r="J62" s="75">
        <v>925</v>
      </c>
      <c r="K62" s="75">
        <v>0</v>
      </c>
      <c r="L62" s="75">
        <f t="shared" si="9"/>
        <v>56248</v>
      </c>
      <c r="M62" s="75"/>
      <c r="N62" s="79">
        <v>0</v>
      </c>
      <c r="O62" s="79">
        <v>0</v>
      </c>
      <c r="P62" s="75">
        <v>0</v>
      </c>
      <c r="Q62" s="75">
        <v>0</v>
      </c>
      <c r="R62" s="79">
        <v>0</v>
      </c>
      <c r="S62" s="79">
        <v>0</v>
      </c>
      <c r="T62" s="75">
        <v>0</v>
      </c>
      <c r="U62" s="75">
        <v>0</v>
      </c>
      <c r="V62" s="79">
        <v>0</v>
      </c>
      <c r="W62" s="79">
        <v>0</v>
      </c>
      <c r="X62" s="112">
        <v>0</v>
      </c>
      <c r="Y62" s="112">
        <v>0</v>
      </c>
      <c r="Z62" s="79">
        <v>500</v>
      </c>
      <c r="AA62" s="80">
        <v>0</v>
      </c>
      <c r="AB62" s="112">
        <v>0</v>
      </c>
      <c r="AC62" s="112">
        <v>0</v>
      </c>
      <c r="AD62" s="81">
        <v>0</v>
      </c>
      <c r="AE62" s="81">
        <v>0</v>
      </c>
      <c r="AF62" s="79">
        <v>0</v>
      </c>
      <c r="AG62" s="114">
        <v>0</v>
      </c>
      <c r="AH62" s="82">
        <v>0</v>
      </c>
      <c r="AI62" s="82">
        <v>0</v>
      </c>
      <c r="AJ62" s="112">
        <v>0</v>
      </c>
      <c r="AK62" s="112">
        <v>0</v>
      </c>
      <c r="AL62" s="79">
        <v>0</v>
      </c>
      <c r="AM62" s="79">
        <v>0</v>
      </c>
      <c r="AN62" s="112">
        <v>0</v>
      </c>
      <c r="AO62" s="116">
        <v>0</v>
      </c>
      <c r="AP62" s="79">
        <v>0</v>
      </c>
      <c r="AQ62" s="79">
        <v>0</v>
      </c>
      <c r="AR62" s="112">
        <v>0</v>
      </c>
      <c r="AS62" s="112">
        <v>400</v>
      </c>
      <c r="AT62" s="79">
        <v>0</v>
      </c>
      <c r="AU62" s="79">
        <v>0</v>
      </c>
      <c r="AV62" s="112">
        <v>0</v>
      </c>
      <c r="AW62" s="112">
        <v>0</v>
      </c>
      <c r="AX62" s="75">
        <f t="shared" si="15"/>
        <v>900</v>
      </c>
      <c r="AY62" s="75"/>
      <c r="AZ62" s="75">
        <v>600</v>
      </c>
      <c r="BA62" s="75"/>
      <c r="BB62" s="83">
        <f t="shared" si="11"/>
        <v>57748</v>
      </c>
      <c r="BD62" s="124">
        <f t="shared" si="12"/>
        <v>500</v>
      </c>
      <c r="BE62" s="124">
        <f t="shared" si="13"/>
        <v>400</v>
      </c>
      <c r="BL62" s="75"/>
      <c r="BM62" s="75">
        <v>900</v>
      </c>
      <c r="BN62" s="75">
        <f t="shared" si="14"/>
        <v>916.02</v>
      </c>
      <c r="BO62" s="143">
        <v>1.78E-2</v>
      </c>
      <c r="BQ62" s="26"/>
    </row>
    <row r="63" spans="1:71" x14ac:dyDescent="0.25">
      <c r="A63" s="6">
        <v>50915</v>
      </c>
      <c r="B63" s="35" t="s">
        <v>92</v>
      </c>
      <c r="C63" s="75">
        <v>6900</v>
      </c>
      <c r="D63" s="75">
        <v>0</v>
      </c>
      <c r="E63" s="75">
        <v>4200</v>
      </c>
      <c r="F63" s="75">
        <v>6310</v>
      </c>
      <c r="G63" s="75">
        <v>5050</v>
      </c>
      <c r="H63" s="75">
        <v>7300</v>
      </c>
      <c r="I63" s="75">
        <v>0</v>
      </c>
      <c r="J63" s="75">
        <v>925</v>
      </c>
      <c r="K63" s="75">
        <v>1000</v>
      </c>
      <c r="L63" s="75">
        <f t="shared" si="9"/>
        <v>31685</v>
      </c>
      <c r="M63" s="75"/>
      <c r="N63" s="79">
        <v>0</v>
      </c>
      <c r="O63" s="79">
        <v>0</v>
      </c>
      <c r="P63" s="75">
        <v>0</v>
      </c>
      <c r="Q63" s="75">
        <v>0</v>
      </c>
      <c r="R63" s="79">
        <v>0</v>
      </c>
      <c r="S63" s="79">
        <v>0</v>
      </c>
      <c r="T63" s="75">
        <v>0</v>
      </c>
      <c r="U63" s="75">
        <v>0</v>
      </c>
      <c r="V63" s="79">
        <v>0</v>
      </c>
      <c r="W63" s="79">
        <v>0</v>
      </c>
      <c r="X63" s="112">
        <v>0</v>
      </c>
      <c r="Y63" s="112">
        <v>500</v>
      </c>
      <c r="Z63" s="79">
        <v>4800</v>
      </c>
      <c r="AA63" s="80">
        <v>0</v>
      </c>
      <c r="AB63" s="112">
        <v>0</v>
      </c>
      <c r="AC63" s="112">
        <v>0</v>
      </c>
      <c r="AD63" s="81">
        <v>0</v>
      </c>
      <c r="AE63" s="81">
        <v>0</v>
      </c>
      <c r="AF63" s="79">
        <v>0</v>
      </c>
      <c r="AG63" s="114">
        <v>0</v>
      </c>
      <c r="AH63" s="82">
        <v>0</v>
      </c>
      <c r="AI63" s="82">
        <v>0</v>
      </c>
      <c r="AJ63" s="112">
        <v>0</v>
      </c>
      <c r="AK63" s="112">
        <v>0</v>
      </c>
      <c r="AL63" s="79">
        <v>0</v>
      </c>
      <c r="AM63" s="79">
        <v>0</v>
      </c>
      <c r="AN63" s="112">
        <v>0</v>
      </c>
      <c r="AO63" s="116">
        <v>0</v>
      </c>
      <c r="AP63" s="79">
        <v>0</v>
      </c>
      <c r="AQ63" s="79">
        <v>0</v>
      </c>
      <c r="AR63" s="112">
        <v>0</v>
      </c>
      <c r="AS63" s="112">
        <v>0</v>
      </c>
      <c r="AT63" s="79">
        <v>0</v>
      </c>
      <c r="AU63" s="79">
        <v>0</v>
      </c>
      <c r="AV63" s="112">
        <v>0</v>
      </c>
      <c r="AW63" s="112">
        <v>0</v>
      </c>
      <c r="AX63" s="75">
        <f t="shared" si="15"/>
        <v>5300</v>
      </c>
      <c r="AY63" s="75"/>
      <c r="AZ63" s="75">
        <v>2500</v>
      </c>
      <c r="BA63" s="75"/>
      <c r="BB63" s="83">
        <f t="shared" si="11"/>
        <v>39485</v>
      </c>
      <c r="BD63" s="124">
        <f t="shared" si="12"/>
        <v>4800</v>
      </c>
      <c r="BE63" s="124">
        <f t="shared" si="13"/>
        <v>500</v>
      </c>
      <c r="BL63" s="75"/>
      <c r="BM63" s="75">
        <v>5300</v>
      </c>
      <c r="BN63" s="75">
        <f t="shared" si="14"/>
        <v>5394.34</v>
      </c>
      <c r="BO63" s="143">
        <v>1.78E-2</v>
      </c>
      <c r="BQ63" s="26"/>
    </row>
    <row r="64" spans="1:71" x14ac:dyDescent="0.25">
      <c r="A64" s="6">
        <v>50920</v>
      </c>
      <c r="B64" s="35" t="s">
        <v>93</v>
      </c>
      <c r="C64" s="75">
        <v>11700</v>
      </c>
      <c r="D64" s="75">
        <v>0</v>
      </c>
      <c r="E64" s="75">
        <v>16300</v>
      </c>
      <c r="F64" s="75">
        <v>7808</v>
      </c>
      <c r="G64" s="75">
        <v>17050</v>
      </c>
      <c r="H64" s="75">
        <v>3000</v>
      </c>
      <c r="I64" s="75">
        <v>0</v>
      </c>
      <c r="J64" s="75">
        <v>0</v>
      </c>
      <c r="K64" s="75">
        <v>1500</v>
      </c>
      <c r="L64" s="75">
        <f t="shared" si="9"/>
        <v>57358</v>
      </c>
      <c r="M64" s="75"/>
      <c r="N64" s="79">
        <v>0</v>
      </c>
      <c r="O64" s="79">
        <v>0</v>
      </c>
      <c r="P64" s="75">
        <v>0</v>
      </c>
      <c r="Q64" s="75">
        <v>0</v>
      </c>
      <c r="R64" s="79">
        <v>6000</v>
      </c>
      <c r="S64" s="79">
        <v>0</v>
      </c>
      <c r="T64" s="75">
        <v>1500</v>
      </c>
      <c r="U64" s="75">
        <v>0</v>
      </c>
      <c r="V64" s="79">
        <v>0</v>
      </c>
      <c r="W64" s="79">
        <v>0</v>
      </c>
      <c r="X64" s="112">
        <v>0</v>
      </c>
      <c r="Y64" s="112">
        <v>1200</v>
      </c>
      <c r="Z64" s="79">
        <v>4800</v>
      </c>
      <c r="AA64" s="80">
        <v>0</v>
      </c>
      <c r="AB64" s="112">
        <v>0</v>
      </c>
      <c r="AC64" s="112">
        <v>0</v>
      </c>
      <c r="AD64" s="81">
        <v>0</v>
      </c>
      <c r="AE64" s="81">
        <v>0</v>
      </c>
      <c r="AF64" s="79">
        <v>0</v>
      </c>
      <c r="AG64" s="114">
        <v>0</v>
      </c>
      <c r="AH64" s="82">
        <v>0</v>
      </c>
      <c r="AI64" s="82">
        <v>0</v>
      </c>
      <c r="AJ64" s="112">
        <v>0</v>
      </c>
      <c r="AK64" s="112">
        <v>0</v>
      </c>
      <c r="AL64" s="79">
        <v>0</v>
      </c>
      <c r="AM64" s="79">
        <v>0</v>
      </c>
      <c r="AN64" s="112">
        <v>0</v>
      </c>
      <c r="AO64" s="116">
        <v>0</v>
      </c>
      <c r="AP64" s="79">
        <v>0</v>
      </c>
      <c r="AQ64" s="79">
        <v>0</v>
      </c>
      <c r="AR64" s="112">
        <v>0</v>
      </c>
      <c r="AS64" s="112">
        <v>0</v>
      </c>
      <c r="AT64" s="79">
        <v>0</v>
      </c>
      <c r="AU64" s="79">
        <v>1200</v>
      </c>
      <c r="AV64" s="112">
        <v>60</v>
      </c>
      <c r="AW64" s="112">
        <v>3000</v>
      </c>
      <c r="AX64" s="75">
        <f t="shared" si="15"/>
        <v>17760</v>
      </c>
      <c r="AY64" s="75"/>
      <c r="AZ64" s="75">
        <v>3600</v>
      </c>
      <c r="BA64" s="75"/>
      <c r="BB64" s="83">
        <f t="shared" si="11"/>
        <v>78718</v>
      </c>
      <c r="BD64" s="124">
        <f t="shared" si="12"/>
        <v>12360</v>
      </c>
      <c r="BE64" s="124">
        <f t="shared" si="13"/>
        <v>5400</v>
      </c>
      <c r="BL64" s="75"/>
      <c r="BM64" s="75">
        <v>17760</v>
      </c>
      <c r="BN64" s="75">
        <f t="shared" si="14"/>
        <v>18076.128000000001</v>
      </c>
      <c r="BO64" s="143">
        <v>1.78E-2</v>
      </c>
      <c r="BQ64" s="141"/>
      <c r="BR64" s="71"/>
      <c r="BS64" s="71"/>
    </row>
    <row r="65" spans="1:72" x14ac:dyDescent="0.25">
      <c r="A65" s="6">
        <v>50925</v>
      </c>
      <c r="B65" s="35" t="s">
        <v>94</v>
      </c>
      <c r="C65" s="75">
        <v>500</v>
      </c>
      <c r="D65" s="75">
        <v>0</v>
      </c>
      <c r="E65" s="75">
        <v>1000</v>
      </c>
      <c r="F65" s="75">
        <v>1200</v>
      </c>
      <c r="G65" s="75">
        <v>1200</v>
      </c>
      <c r="H65" s="75">
        <v>1000</v>
      </c>
      <c r="I65" s="75">
        <v>0</v>
      </c>
      <c r="J65" s="75">
        <v>1200</v>
      </c>
      <c r="K65" s="75">
        <v>2400</v>
      </c>
      <c r="L65" s="75">
        <f t="shared" si="9"/>
        <v>8500</v>
      </c>
      <c r="M65" s="75"/>
      <c r="N65" s="79">
        <v>0</v>
      </c>
      <c r="O65" s="79">
        <v>0</v>
      </c>
      <c r="P65" s="75">
        <v>0</v>
      </c>
      <c r="Q65" s="75">
        <v>0</v>
      </c>
      <c r="R65" s="79">
        <v>0</v>
      </c>
      <c r="S65" s="79">
        <v>0</v>
      </c>
      <c r="T65" s="75">
        <v>0</v>
      </c>
      <c r="U65" s="75">
        <v>0</v>
      </c>
      <c r="V65" s="79">
        <v>0</v>
      </c>
      <c r="W65" s="79">
        <v>0</v>
      </c>
      <c r="X65" s="112">
        <v>0</v>
      </c>
      <c r="Y65" s="112">
        <v>0</v>
      </c>
      <c r="Z65" s="79">
        <v>600</v>
      </c>
      <c r="AA65" s="80">
        <v>0</v>
      </c>
      <c r="AB65" s="112">
        <v>0</v>
      </c>
      <c r="AC65" s="112">
        <v>0</v>
      </c>
      <c r="AD65" s="81">
        <v>0</v>
      </c>
      <c r="AE65" s="81">
        <v>0</v>
      </c>
      <c r="AF65" s="79">
        <v>0</v>
      </c>
      <c r="AG65" s="114">
        <v>0</v>
      </c>
      <c r="AH65" s="82">
        <v>0</v>
      </c>
      <c r="AI65" s="82">
        <v>0</v>
      </c>
      <c r="AJ65" s="112">
        <v>0</v>
      </c>
      <c r="AK65" s="112">
        <v>0</v>
      </c>
      <c r="AL65" s="79">
        <v>0</v>
      </c>
      <c r="AM65" s="79">
        <v>0</v>
      </c>
      <c r="AN65" s="112">
        <v>0</v>
      </c>
      <c r="AO65" s="116">
        <v>0</v>
      </c>
      <c r="AP65" s="79">
        <v>0</v>
      </c>
      <c r="AQ65" s="79">
        <v>0</v>
      </c>
      <c r="AR65" s="112">
        <v>0</v>
      </c>
      <c r="AS65" s="112">
        <v>0</v>
      </c>
      <c r="AT65" s="79">
        <v>0</v>
      </c>
      <c r="AU65" s="79">
        <v>0</v>
      </c>
      <c r="AV65" s="112">
        <v>0</v>
      </c>
      <c r="AW65" s="112">
        <v>0</v>
      </c>
      <c r="AX65" s="75">
        <f t="shared" si="15"/>
        <v>600</v>
      </c>
      <c r="AY65" s="75"/>
      <c r="AZ65" s="75">
        <v>1000</v>
      </c>
      <c r="BA65" s="75"/>
      <c r="BB65" s="83">
        <f t="shared" si="11"/>
        <v>10100</v>
      </c>
      <c r="BD65" s="124">
        <f t="shared" si="12"/>
        <v>600</v>
      </c>
      <c r="BE65" s="124">
        <f t="shared" si="13"/>
        <v>0</v>
      </c>
      <c r="BL65" s="75"/>
      <c r="BM65" s="75">
        <v>600</v>
      </c>
      <c r="BN65" s="75">
        <f t="shared" si="14"/>
        <v>610.68000000000006</v>
      </c>
      <c r="BO65" s="143">
        <v>1.78E-2</v>
      </c>
      <c r="BQ65" s="141"/>
      <c r="BR65" s="74"/>
      <c r="BS65" s="71"/>
    </row>
    <row r="66" spans="1:72" x14ac:dyDescent="0.25">
      <c r="A66" s="6">
        <v>50930</v>
      </c>
      <c r="B66" s="35" t="s">
        <v>95</v>
      </c>
      <c r="C66" s="75">
        <v>3600</v>
      </c>
      <c r="D66" s="75">
        <v>1750</v>
      </c>
      <c r="E66" s="75">
        <v>9600</v>
      </c>
      <c r="F66" s="75">
        <v>3600</v>
      </c>
      <c r="G66" s="75">
        <v>1000</v>
      </c>
      <c r="H66" s="75">
        <v>1750</v>
      </c>
      <c r="I66" s="75">
        <v>0</v>
      </c>
      <c r="J66" s="75">
        <v>400</v>
      </c>
      <c r="K66" s="75">
        <v>300</v>
      </c>
      <c r="L66" s="75">
        <f t="shared" si="9"/>
        <v>22000</v>
      </c>
      <c r="M66" s="75"/>
      <c r="N66" s="79">
        <v>0</v>
      </c>
      <c r="O66" s="79">
        <v>0</v>
      </c>
      <c r="P66" s="75">
        <v>0</v>
      </c>
      <c r="Q66" s="75">
        <v>0</v>
      </c>
      <c r="R66" s="79">
        <v>0</v>
      </c>
      <c r="S66" s="79">
        <v>0</v>
      </c>
      <c r="T66" s="75">
        <v>0</v>
      </c>
      <c r="U66" s="75">
        <v>0</v>
      </c>
      <c r="V66" s="79">
        <v>0</v>
      </c>
      <c r="W66" s="79">
        <v>0</v>
      </c>
      <c r="X66" s="112">
        <v>0</v>
      </c>
      <c r="Y66" s="112">
        <f>7200+1735</f>
        <v>8935</v>
      </c>
      <c r="Z66" s="79">
        <v>300</v>
      </c>
      <c r="AA66" s="80">
        <v>0</v>
      </c>
      <c r="AB66" s="112">
        <v>0</v>
      </c>
      <c r="AC66" s="112">
        <v>0</v>
      </c>
      <c r="AD66" s="81">
        <v>0</v>
      </c>
      <c r="AE66" s="81">
        <v>0</v>
      </c>
      <c r="AF66" s="79">
        <v>0</v>
      </c>
      <c r="AG66" s="114">
        <v>0</v>
      </c>
      <c r="AH66" s="82">
        <v>0</v>
      </c>
      <c r="AI66" s="82">
        <v>0</v>
      </c>
      <c r="AJ66" s="112">
        <v>0</v>
      </c>
      <c r="AK66" s="112">
        <v>0</v>
      </c>
      <c r="AL66" s="79">
        <v>0</v>
      </c>
      <c r="AM66" s="79">
        <v>0</v>
      </c>
      <c r="AN66" s="112">
        <v>0</v>
      </c>
      <c r="AO66" s="116">
        <v>0</v>
      </c>
      <c r="AP66" s="79">
        <v>0</v>
      </c>
      <c r="AQ66" s="79">
        <v>0</v>
      </c>
      <c r="AR66" s="112">
        <v>0</v>
      </c>
      <c r="AS66" s="112">
        <v>300</v>
      </c>
      <c r="AT66" s="79">
        <v>0</v>
      </c>
      <c r="AU66" s="79">
        <v>0</v>
      </c>
      <c r="AV66" s="112">
        <v>0</v>
      </c>
      <c r="AW66" s="112">
        <v>0</v>
      </c>
      <c r="AX66" s="75">
        <f t="shared" si="15"/>
        <v>9535</v>
      </c>
      <c r="AY66" s="75"/>
      <c r="AZ66" s="75">
        <v>400</v>
      </c>
      <c r="BA66" s="75"/>
      <c r="BB66" s="83">
        <f t="shared" si="11"/>
        <v>31935</v>
      </c>
      <c r="BD66" s="124">
        <f t="shared" si="12"/>
        <v>300</v>
      </c>
      <c r="BE66" s="124">
        <f t="shared" si="13"/>
        <v>9235</v>
      </c>
      <c r="BL66" s="75"/>
      <c r="BM66" s="75">
        <v>9535</v>
      </c>
      <c r="BN66" s="75">
        <f t="shared" si="14"/>
        <v>9704.723</v>
      </c>
      <c r="BO66" s="143">
        <v>1.78E-2</v>
      </c>
      <c r="BQ66" s="141"/>
      <c r="BR66" s="71"/>
      <c r="BS66" s="71"/>
    </row>
    <row r="67" spans="1:72" hidden="1" x14ac:dyDescent="0.25">
      <c r="A67" s="6">
        <v>50935</v>
      </c>
      <c r="B67" s="35" t="s">
        <v>96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f t="shared" si="9"/>
        <v>0</v>
      </c>
      <c r="M67" s="75"/>
      <c r="N67" s="79">
        <v>0</v>
      </c>
      <c r="O67" s="79">
        <v>0</v>
      </c>
      <c r="P67" s="75">
        <v>0</v>
      </c>
      <c r="Q67" s="75">
        <v>0</v>
      </c>
      <c r="R67" s="79">
        <v>0</v>
      </c>
      <c r="S67" s="79">
        <v>0</v>
      </c>
      <c r="T67" s="75">
        <v>0</v>
      </c>
      <c r="U67" s="75">
        <v>0</v>
      </c>
      <c r="V67" s="79">
        <v>0</v>
      </c>
      <c r="W67" s="79"/>
      <c r="X67" s="112">
        <v>0</v>
      </c>
      <c r="Y67" s="112">
        <v>0</v>
      </c>
      <c r="Z67" s="79">
        <v>0</v>
      </c>
      <c r="AA67" s="80">
        <v>0</v>
      </c>
      <c r="AB67" s="112">
        <v>0</v>
      </c>
      <c r="AC67" s="112">
        <v>0</v>
      </c>
      <c r="AD67" s="81">
        <v>0</v>
      </c>
      <c r="AE67" s="81">
        <v>0</v>
      </c>
      <c r="AF67" s="79">
        <v>0</v>
      </c>
      <c r="AG67" s="114">
        <v>0</v>
      </c>
      <c r="AH67" s="82">
        <v>0</v>
      </c>
      <c r="AI67" s="82">
        <v>0</v>
      </c>
      <c r="AJ67" s="112">
        <v>0</v>
      </c>
      <c r="AK67" s="112">
        <v>0</v>
      </c>
      <c r="AL67" s="79">
        <v>0</v>
      </c>
      <c r="AM67" s="79">
        <v>0</v>
      </c>
      <c r="AN67" s="112">
        <v>0</v>
      </c>
      <c r="AO67" s="116">
        <v>0</v>
      </c>
      <c r="AP67" s="79">
        <v>0</v>
      </c>
      <c r="AQ67" s="79">
        <v>0</v>
      </c>
      <c r="AR67" s="112">
        <v>0</v>
      </c>
      <c r="AS67" s="112">
        <v>0</v>
      </c>
      <c r="AT67" s="79">
        <v>0</v>
      </c>
      <c r="AU67" s="79">
        <v>0</v>
      </c>
      <c r="AV67" s="112">
        <v>0</v>
      </c>
      <c r="AW67" s="112">
        <v>0</v>
      </c>
      <c r="AX67" s="75">
        <f t="shared" si="15"/>
        <v>0</v>
      </c>
      <c r="AY67" s="75"/>
      <c r="AZ67" s="75">
        <v>0</v>
      </c>
      <c r="BA67" s="75"/>
      <c r="BB67" s="83">
        <f t="shared" si="11"/>
        <v>0</v>
      </c>
      <c r="BD67" s="124">
        <f t="shared" si="12"/>
        <v>0</v>
      </c>
      <c r="BE67" s="124">
        <f t="shared" si="13"/>
        <v>0</v>
      </c>
      <c r="BL67" s="75"/>
      <c r="BM67" s="75">
        <v>0</v>
      </c>
      <c r="BN67" s="75">
        <f t="shared" si="14"/>
        <v>0</v>
      </c>
      <c r="BO67" s="143">
        <v>1.78E-2</v>
      </c>
      <c r="BQ67" s="26"/>
    </row>
    <row r="68" spans="1:72" x14ac:dyDescent="0.25">
      <c r="A68" s="6">
        <v>50940</v>
      </c>
      <c r="B68" s="35" t="s">
        <v>179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8500</v>
      </c>
      <c r="K68" s="75">
        <v>0</v>
      </c>
      <c r="L68" s="75">
        <f t="shared" si="9"/>
        <v>8500</v>
      </c>
      <c r="M68" s="75"/>
      <c r="N68" s="79">
        <v>0</v>
      </c>
      <c r="O68" s="79">
        <v>0</v>
      </c>
      <c r="P68" s="75">
        <v>0</v>
      </c>
      <c r="Q68" s="75">
        <v>0</v>
      </c>
      <c r="R68" s="79">
        <v>0</v>
      </c>
      <c r="S68" s="79">
        <v>0</v>
      </c>
      <c r="T68" s="75">
        <v>0</v>
      </c>
      <c r="U68" s="75">
        <v>0</v>
      </c>
      <c r="V68" s="79">
        <v>0</v>
      </c>
      <c r="W68" s="79">
        <v>0</v>
      </c>
      <c r="X68" s="112">
        <v>0</v>
      </c>
      <c r="Y68" s="112">
        <v>2400</v>
      </c>
      <c r="Z68" s="79">
        <v>0</v>
      </c>
      <c r="AA68" s="80">
        <v>0</v>
      </c>
      <c r="AB68" s="112">
        <v>0</v>
      </c>
      <c r="AC68" s="112">
        <v>0</v>
      </c>
      <c r="AD68" s="81">
        <v>0</v>
      </c>
      <c r="AE68" s="81">
        <v>0</v>
      </c>
      <c r="AF68" s="79">
        <v>0</v>
      </c>
      <c r="AG68" s="114">
        <v>0</v>
      </c>
      <c r="AH68" s="82">
        <v>0</v>
      </c>
      <c r="AI68" s="82">
        <v>0</v>
      </c>
      <c r="AJ68" s="112">
        <v>0</v>
      </c>
      <c r="AK68" s="112">
        <v>0</v>
      </c>
      <c r="AL68" s="79">
        <v>0</v>
      </c>
      <c r="AM68" s="79">
        <v>0</v>
      </c>
      <c r="AN68" s="112">
        <v>0</v>
      </c>
      <c r="AO68" s="116">
        <v>0</v>
      </c>
      <c r="AP68" s="79">
        <v>0</v>
      </c>
      <c r="AQ68" s="79">
        <v>0</v>
      </c>
      <c r="AR68" s="112">
        <v>0</v>
      </c>
      <c r="AS68" s="112">
        <v>0</v>
      </c>
      <c r="AT68" s="79">
        <v>0</v>
      </c>
      <c r="AU68" s="79">
        <v>0</v>
      </c>
      <c r="AV68" s="112">
        <v>0</v>
      </c>
      <c r="AW68" s="112">
        <v>0</v>
      </c>
      <c r="AX68" s="75">
        <f t="shared" si="15"/>
        <v>2400</v>
      </c>
      <c r="AY68" s="75"/>
      <c r="AZ68" s="75">
        <v>0</v>
      </c>
      <c r="BA68" s="75"/>
      <c r="BB68" s="83">
        <f t="shared" si="11"/>
        <v>10900</v>
      </c>
      <c r="BD68" s="124">
        <f t="shared" si="12"/>
        <v>0</v>
      </c>
      <c r="BE68" s="124">
        <f t="shared" si="13"/>
        <v>2400</v>
      </c>
      <c r="BL68" s="75"/>
      <c r="BM68" s="75">
        <v>2400</v>
      </c>
      <c r="BN68" s="75">
        <f t="shared" si="14"/>
        <v>2442.7200000000003</v>
      </c>
      <c r="BO68" s="143">
        <v>1.78E-2</v>
      </c>
      <c r="BQ68" s="26"/>
    </row>
    <row r="69" spans="1:72" x14ac:dyDescent="0.25">
      <c r="A69" s="6">
        <v>50945</v>
      </c>
      <c r="B69" s="35" t="s">
        <v>97</v>
      </c>
      <c r="C69" s="75">
        <v>0</v>
      </c>
      <c r="D69" s="75">
        <v>0</v>
      </c>
      <c r="E69" s="75">
        <v>0</v>
      </c>
      <c r="F69" s="75">
        <v>5863</v>
      </c>
      <c r="G69" s="75">
        <v>1000</v>
      </c>
      <c r="H69" s="75">
        <v>0</v>
      </c>
      <c r="I69" s="75">
        <v>0</v>
      </c>
      <c r="J69" s="75">
        <v>17850</v>
      </c>
      <c r="K69" s="75">
        <v>3000</v>
      </c>
      <c r="L69" s="75">
        <f t="shared" si="9"/>
        <v>27713</v>
      </c>
      <c r="M69" s="75"/>
      <c r="N69" s="79">
        <v>0</v>
      </c>
      <c r="O69" s="79">
        <v>0</v>
      </c>
      <c r="P69" s="75">
        <v>0</v>
      </c>
      <c r="Q69" s="75">
        <v>0</v>
      </c>
      <c r="R69" s="79">
        <v>0</v>
      </c>
      <c r="S69" s="79">
        <v>0</v>
      </c>
      <c r="T69" s="75">
        <v>0</v>
      </c>
      <c r="U69" s="75">
        <v>0</v>
      </c>
      <c r="V69" s="79">
        <v>0</v>
      </c>
      <c r="W69" s="79">
        <v>0</v>
      </c>
      <c r="X69" s="112">
        <v>0</v>
      </c>
      <c r="Y69" s="112">
        <v>6000</v>
      </c>
      <c r="Z69" s="79">
        <v>1440</v>
      </c>
      <c r="AA69" s="80">
        <v>0</v>
      </c>
      <c r="AB69" s="112">
        <v>0</v>
      </c>
      <c r="AC69" s="112">
        <v>0</v>
      </c>
      <c r="AD69" s="81">
        <v>0</v>
      </c>
      <c r="AE69" s="81">
        <v>0</v>
      </c>
      <c r="AF69" s="79">
        <v>0</v>
      </c>
      <c r="AG69" s="114">
        <v>0</v>
      </c>
      <c r="AH69" s="82">
        <v>0</v>
      </c>
      <c r="AI69" s="82">
        <v>0</v>
      </c>
      <c r="AJ69" s="112">
        <v>0</v>
      </c>
      <c r="AK69" s="112">
        <v>0</v>
      </c>
      <c r="AL69" s="79">
        <v>0</v>
      </c>
      <c r="AM69" s="79">
        <v>0</v>
      </c>
      <c r="AN69" s="112">
        <v>0</v>
      </c>
      <c r="AO69" s="116">
        <v>0</v>
      </c>
      <c r="AP69" s="79">
        <v>0</v>
      </c>
      <c r="AQ69" s="79">
        <v>0</v>
      </c>
      <c r="AR69" s="112">
        <v>0</v>
      </c>
      <c r="AS69" s="112">
        <v>3500</v>
      </c>
      <c r="AT69" s="79">
        <v>0</v>
      </c>
      <c r="AU69" s="79">
        <v>15000</v>
      </c>
      <c r="AV69" s="112">
        <v>0</v>
      </c>
      <c r="AW69" s="112">
        <v>12000</v>
      </c>
      <c r="AX69" s="75">
        <f t="shared" si="15"/>
        <v>37940</v>
      </c>
      <c r="AY69" s="75"/>
      <c r="AZ69" s="75">
        <v>1200</v>
      </c>
      <c r="BA69" s="75"/>
      <c r="BB69" s="83">
        <f t="shared" si="11"/>
        <v>66853</v>
      </c>
      <c r="BD69" s="124">
        <f t="shared" si="12"/>
        <v>1440</v>
      </c>
      <c r="BE69" s="124">
        <f t="shared" si="13"/>
        <v>36500</v>
      </c>
      <c r="BL69" s="75"/>
      <c r="BM69" s="75">
        <v>37940</v>
      </c>
      <c r="BN69" s="75">
        <f t="shared" si="14"/>
        <v>38615.332000000002</v>
      </c>
      <c r="BO69" s="143">
        <v>1.78E-2</v>
      </c>
      <c r="BQ69" s="7"/>
      <c r="BR69" s="13"/>
    </row>
    <row r="70" spans="1:72" x14ac:dyDescent="0.25">
      <c r="A70" s="6">
        <v>51010</v>
      </c>
      <c r="B70" s="35" t="s">
        <v>98</v>
      </c>
      <c r="C70" s="75">
        <v>0</v>
      </c>
      <c r="D70" s="75">
        <v>127800</v>
      </c>
      <c r="E70" s="75">
        <v>0</v>
      </c>
      <c r="F70" s="75">
        <v>0</v>
      </c>
      <c r="G70" s="75">
        <v>0</v>
      </c>
      <c r="H70" s="75">
        <v>3600</v>
      </c>
      <c r="I70" s="75">
        <v>0</v>
      </c>
      <c r="J70" s="75">
        <v>0</v>
      </c>
      <c r="K70" s="75">
        <v>0</v>
      </c>
      <c r="L70" s="75">
        <f t="shared" si="9"/>
        <v>131400</v>
      </c>
      <c r="M70" s="75"/>
      <c r="N70" s="79">
        <v>0</v>
      </c>
      <c r="O70" s="79">
        <v>0</v>
      </c>
      <c r="P70" s="75">
        <v>0</v>
      </c>
      <c r="Q70" s="75">
        <v>0</v>
      </c>
      <c r="R70" s="79">
        <v>0</v>
      </c>
      <c r="S70" s="79">
        <v>0</v>
      </c>
      <c r="T70" s="75">
        <v>0</v>
      </c>
      <c r="U70" s="75">
        <v>0</v>
      </c>
      <c r="V70" s="79">
        <v>0</v>
      </c>
      <c r="W70" s="79">
        <v>0</v>
      </c>
      <c r="X70" s="112">
        <v>2472</v>
      </c>
      <c r="Y70" s="112">
        <v>0</v>
      </c>
      <c r="Z70" s="79">
        <v>0</v>
      </c>
      <c r="AA70" s="80">
        <v>0</v>
      </c>
      <c r="AB70" s="112">
        <v>0</v>
      </c>
      <c r="AC70" s="112">
        <v>0</v>
      </c>
      <c r="AD70" s="81">
        <v>0</v>
      </c>
      <c r="AE70" s="81">
        <v>0</v>
      </c>
      <c r="AF70" s="79">
        <v>0</v>
      </c>
      <c r="AG70" s="114">
        <v>0</v>
      </c>
      <c r="AH70" s="82">
        <v>0</v>
      </c>
      <c r="AI70" s="82">
        <v>0</v>
      </c>
      <c r="AJ70" s="112">
        <v>0</v>
      </c>
      <c r="AK70" s="112">
        <v>0</v>
      </c>
      <c r="AL70" s="79">
        <v>0</v>
      </c>
      <c r="AM70" s="79">
        <v>0</v>
      </c>
      <c r="AN70" s="112">
        <v>0</v>
      </c>
      <c r="AO70" s="116">
        <v>0</v>
      </c>
      <c r="AP70" s="79">
        <v>100516</v>
      </c>
      <c r="AQ70" s="79">
        <v>0</v>
      </c>
      <c r="AR70" s="112">
        <v>1680</v>
      </c>
      <c r="AS70" s="112">
        <v>0</v>
      </c>
      <c r="AT70" s="79">
        <v>0</v>
      </c>
      <c r="AU70" s="79">
        <v>0</v>
      </c>
      <c r="AV70" s="112">
        <v>0</v>
      </c>
      <c r="AW70" s="112">
        <v>0</v>
      </c>
      <c r="AX70" s="75">
        <f t="shared" si="15"/>
        <v>104668</v>
      </c>
      <c r="AY70" s="75"/>
      <c r="AZ70" s="75">
        <v>2400</v>
      </c>
      <c r="BA70" s="75"/>
      <c r="BB70" s="83">
        <f t="shared" si="11"/>
        <v>238468</v>
      </c>
      <c r="BD70" s="124">
        <f t="shared" si="12"/>
        <v>104668</v>
      </c>
      <c r="BE70" s="124">
        <f t="shared" si="13"/>
        <v>0</v>
      </c>
      <c r="BL70" s="75"/>
      <c r="BM70" s="75">
        <v>104668</v>
      </c>
      <c r="BN70" s="75">
        <f t="shared" si="14"/>
        <v>106531.0904</v>
      </c>
      <c r="BO70" s="143">
        <v>1.78E-2</v>
      </c>
      <c r="BP70" s="142"/>
      <c r="BQ70" s="7"/>
    </row>
    <row r="71" spans="1:72" x14ac:dyDescent="0.25">
      <c r="A71" s="6">
        <v>51310</v>
      </c>
      <c r="B71" s="35" t="s">
        <v>99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f t="shared" si="9"/>
        <v>0</v>
      </c>
      <c r="M71" s="75"/>
      <c r="N71" s="79">
        <v>0</v>
      </c>
      <c r="O71" s="79">
        <v>0</v>
      </c>
      <c r="P71" s="75">
        <v>0</v>
      </c>
      <c r="Q71" s="75">
        <v>0</v>
      </c>
      <c r="R71" s="79">
        <v>0</v>
      </c>
      <c r="S71" s="79">
        <v>0</v>
      </c>
      <c r="T71" s="75">
        <v>0</v>
      </c>
      <c r="U71" s="75">
        <v>0</v>
      </c>
      <c r="V71" s="137">
        <v>0</v>
      </c>
      <c r="W71" s="79">
        <v>0</v>
      </c>
      <c r="X71" s="112">
        <v>275194</v>
      </c>
      <c r="Y71" s="112">
        <v>0</v>
      </c>
      <c r="Z71" s="137">
        <v>0</v>
      </c>
      <c r="AA71" s="80">
        <v>0</v>
      </c>
      <c r="AB71" s="112">
        <v>0</v>
      </c>
      <c r="AC71" s="112">
        <v>0</v>
      </c>
      <c r="AD71" s="81">
        <v>0</v>
      </c>
      <c r="AE71" s="81">
        <v>0</v>
      </c>
      <c r="AF71" s="137">
        <v>0</v>
      </c>
      <c r="AG71" s="139">
        <v>0</v>
      </c>
      <c r="AH71" s="82">
        <v>0</v>
      </c>
      <c r="AI71" s="82">
        <v>0</v>
      </c>
      <c r="AJ71" s="112">
        <v>0</v>
      </c>
      <c r="AK71" s="112">
        <v>0</v>
      </c>
      <c r="AL71" s="137">
        <v>0</v>
      </c>
      <c r="AM71" s="137">
        <v>0</v>
      </c>
      <c r="AN71" s="112">
        <v>0</v>
      </c>
      <c r="AO71" s="116">
        <v>0</v>
      </c>
      <c r="AP71" s="137">
        <v>0</v>
      </c>
      <c r="AQ71" s="137">
        <v>0</v>
      </c>
      <c r="AR71" s="112">
        <v>0</v>
      </c>
      <c r="AS71" s="112">
        <v>0</v>
      </c>
      <c r="AT71" s="137">
        <v>0</v>
      </c>
      <c r="AU71" s="137">
        <v>0</v>
      </c>
      <c r="AV71" s="112">
        <v>0</v>
      </c>
      <c r="AW71" s="112">
        <v>0</v>
      </c>
      <c r="AX71" s="75">
        <f t="shared" si="15"/>
        <v>275194</v>
      </c>
      <c r="AY71" s="75"/>
      <c r="AZ71" s="75">
        <v>430296</v>
      </c>
      <c r="BA71" s="75"/>
      <c r="BB71" s="83">
        <f t="shared" si="11"/>
        <v>705490</v>
      </c>
      <c r="BD71" s="124">
        <f t="shared" si="12"/>
        <v>275194</v>
      </c>
      <c r="BE71" s="124">
        <f t="shared" si="13"/>
        <v>0</v>
      </c>
      <c r="BL71" s="75"/>
      <c r="BM71" s="75">
        <v>275194</v>
      </c>
      <c r="BN71" s="75">
        <f t="shared" si="14"/>
        <v>280092.45319999999</v>
      </c>
      <c r="BO71" s="143">
        <v>1.78E-2</v>
      </c>
      <c r="BQ71" s="7"/>
    </row>
    <row r="72" spans="1:72" x14ac:dyDescent="0.25">
      <c r="A72" s="6">
        <v>51315</v>
      </c>
      <c r="B72" s="35" t="s">
        <v>100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f t="shared" si="9"/>
        <v>0</v>
      </c>
      <c r="M72" s="75"/>
      <c r="N72" s="79">
        <v>0</v>
      </c>
      <c r="O72" s="79">
        <v>0</v>
      </c>
      <c r="P72" s="75">
        <v>0</v>
      </c>
      <c r="Q72" s="75">
        <v>0</v>
      </c>
      <c r="R72" s="79">
        <v>0</v>
      </c>
      <c r="S72" s="79">
        <v>0</v>
      </c>
      <c r="T72" s="75">
        <v>0</v>
      </c>
      <c r="U72" s="75">
        <v>0</v>
      </c>
      <c r="V72" s="137">
        <v>0</v>
      </c>
      <c r="W72" s="79">
        <v>0</v>
      </c>
      <c r="X72" s="112">
        <v>82258</v>
      </c>
      <c r="Y72" s="112">
        <v>0</v>
      </c>
      <c r="Z72" s="137">
        <v>0</v>
      </c>
      <c r="AA72" s="80">
        <v>0</v>
      </c>
      <c r="AB72" s="112">
        <v>0</v>
      </c>
      <c r="AC72" s="112">
        <v>0</v>
      </c>
      <c r="AD72" s="81">
        <v>0</v>
      </c>
      <c r="AE72" s="81">
        <v>0</v>
      </c>
      <c r="AF72" s="137">
        <v>0</v>
      </c>
      <c r="AG72" s="139">
        <v>0</v>
      </c>
      <c r="AH72" s="82">
        <v>0</v>
      </c>
      <c r="AI72" s="82">
        <v>0</v>
      </c>
      <c r="AJ72" s="112">
        <v>0</v>
      </c>
      <c r="AK72" s="112">
        <v>0</v>
      </c>
      <c r="AL72" s="137">
        <v>0</v>
      </c>
      <c r="AM72" s="137">
        <v>0</v>
      </c>
      <c r="AN72" s="112">
        <v>0</v>
      </c>
      <c r="AO72" s="116">
        <v>0</v>
      </c>
      <c r="AP72" s="137">
        <v>0</v>
      </c>
      <c r="AQ72" s="137">
        <v>0</v>
      </c>
      <c r="AR72" s="112">
        <v>0</v>
      </c>
      <c r="AS72" s="112">
        <v>0</v>
      </c>
      <c r="AT72" s="137">
        <v>0</v>
      </c>
      <c r="AU72" s="137">
        <v>0</v>
      </c>
      <c r="AV72" s="112">
        <v>0</v>
      </c>
      <c r="AW72" s="112">
        <v>0</v>
      </c>
      <c r="AX72" s="75">
        <f t="shared" si="15"/>
        <v>82258</v>
      </c>
      <c r="AY72" s="75"/>
      <c r="AZ72" s="75">
        <v>396732</v>
      </c>
      <c r="BA72" s="75"/>
      <c r="BB72" s="83">
        <f t="shared" si="11"/>
        <v>478990</v>
      </c>
      <c r="BD72" s="124">
        <f t="shared" si="12"/>
        <v>82258</v>
      </c>
      <c r="BE72" s="124">
        <f t="shared" si="13"/>
        <v>0</v>
      </c>
      <c r="BL72" s="75"/>
      <c r="BM72" s="75">
        <v>82258</v>
      </c>
      <c r="BN72" s="75">
        <f t="shared" si="14"/>
        <v>83722.1924</v>
      </c>
      <c r="BO72" s="143">
        <v>1.78E-2</v>
      </c>
      <c r="BQ72" s="26"/>
    </row>
    <row r="73" spans="1:72" x14ac:dyDescent="0.25">
      <c r="A73" s="6">
        <v>51320</v>
      </c>
      <c r="B73" s="35" t="s">
        <v>101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f t="shared" si="9"/>
        <v>0</v>
      </c>
      <c r="M73" s="75"/>
      <c r="N73" s="79">
        <v>0</v>
      </c>
      <c r="O73" s="79">
        <v>0</v>
      </c>
      <c r="P73" s="75">
        <v>0</v>
      </c>
      <c r="Q73" s="75">
        <v>0</v>
      </c>
      <c r="R73" s="79">
        <v>0</v>
      </c>
      <c r="S73" s="79">
        <v>0</v>
      </c>
      <c r="T73" s="75">
        <v>0</v>
      </c>
      <c r="U73" s="75">
        <v>0</v>
      </c>
      <c r="V73" s="137">
        <v>0</v>
      </c>
      <c r="W73" s="79">
        <v>0</v>
      </c>
      <c r="X73" s="112">
        <v>0</v>
      </c>
      <c r="Y73" s="112">
        <v>0</v>
      </c>
      <c r="Z73" s="137">
        <v>0</v>
      </c>
      <c r="AA73" s="80">
        <v>0</v>
      </c>
      <c r="AB73" s="112">
        <v>0</v>
      </c>
      <c r="AC73" s="112">
        <v>0</v>
      </c>
      <c r="AD73" s="81">
        <v>0</v>
      </c>
      <c r="AE73" s="81">
        <v>0</v>
      </c>
      <c r="AF73" s="137">
        <v>0</v>
      </c>
      <c r="AG73" s="139">
        <v>0</v>
      </c>
      <c r="AH73" s="82">
        <v>0</v>
      </c>
      <c r="AI73" s="82">
        <v>0</v>
      </c>
      <c r="AJ73" s="112">
        <v>0</v>
      </c>
      <c r="AK73" s="112">
        <v>0</v>
      </c>
      <c r="AL73" s="137">
        <v>0</v>
      </c>
      <c r="AM73" s="137">
        <v>0</v>
      </c>
      <c r="AN73" s="112">
        <v>0</v>
      </c>
      <c r="AO73" s="116">
        <v>0</v>
      </c>
      <c r="AP73" s="137">
        <v>0</v>
      </c>
      <c r="AQ73" s="137">
        <v>0</v>
      </c>
      <c r="AR73" s="112">
        <v>0</v>
      </c>
      <c r="AS73" s="112">
        <v>0</v>
      </c>
      <c r="AT73" s="137">
        <v>0</v>
      </c>
      <c r="AU73" s="137">
        <v>0</v>
      </c>
      <c r="AV73" s="112">
        <v>0</v>
      </c>
      <c r="AW73" s="112">
        <v>0</v>
      </c>
      <c r="AX73" s="75">
        <f t="shared" si="15"/>
        <v>0</v>
      </c>
      <c r="AY73" s="75"/>
      <c r="AZ73" s="75">
        <v>0</v>
      </c>
      <c r="BA73" s="75"/>
      <c r="BB73" s="83">
        <f t="shared" si="11"/>
        <v>0</v>
      </c>
      <c r="BD73" s="124">
        <f t="shared" si="12"/>
        <v>0</v>
      </c>
      <c r="BE73" s="124">
        <f t="shared" si="13"/>
        <v>0</v>
      </c>
      <c r="BL73" s="75"/>
      <c r="BM73" s="75">
        <v>0</v>
      </c>
      <c r="BN73" s="75">
        <f t="shared" si="14"/>
        <v>0</v>
      </c>
      <c r="BO73" s="143">
        <v>1.78E-2</v>
      </c>
      <c r="BQ73" s="8"/>
    </row>
    <row r="74" spans="1:72" x14ac:dyDescent="0.25">
      <c r="A74" s="6">
        <v>51325</v>
      </c>
      <c r="B74" s="35" t="s">
        <v>102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f t="shared" si="9"/>
        <v>0</v>
      </c>
      <c r="M74" s="75"/>
      <c r="N74" s="79">
        <v>0</v>
      </c>
      <c r="O74" s="79">
        <v>0</v>
      </c>
      <c r="P74" s="75">
        <v>0</v>
      </c>
      <c r="Q74" s="75">
        <v>0</v>
      </c>
      <c r="R74" s="79">
        <v>0</v>
      </c>
      <c r="S74" s="79">
        <v>0</v>
      </c>
      <c r="T74" s="75">
        <v>0</v>
      </c>
      <c r="U74" s="75">
        <v>0</v>
      </c>
      <c r="V74" s="137">
        <v>0</v>
      </c>
      <c r="W74" s="79">
        <v>0</v>
      </c>
      <c r="X74" s="112">
        <v>153104</v>
      </c>
      <c r="Y74" s="112">
        <v>0</v>
      </c>
      <c r="Z74" s="137">
        <v>0</v>
      </c>
      <c r="AA74" s="80">
        <v>0</v>
      </c>
      <c r="AB74" s="112">
        <v>0</v>
      </c>
      <c r="AC74" s="112">
        <v>0</v>
      </c>
      <c r="AD74" s="81">
        <v>0</v>
      </c>
      <c r="AE74" s="81">
        <v>0</v>
      </c>
      <c r="AF74" s="137">
        <v>0</v>
      </c>
      <c r="AG74" s="139">
        <v>0</v>
      </c>
      <c r="AH74" s="82">
        <v>0</v>
      </c>
      <c r="AI74" s="82">
        <v>0</v>
      </c>
      <c r="AJ74" s="112">
        <v>0</v>
      </c>
      <c r="AK74" s="112">
        <v>0</v>
      </c>
      <c r="AL74" s="137">
        <v>0</v>
      </c>
      <c r="AM74" s="137">
        <v>0</v>
      </c>
      <c r="AN74" s="112">
        <v>0</v>
      </c>
      <c r="AO74" s="116">
        <v>0</v>
      </c>
      <c r="AP74" s="137">
        <v>0</v>
      </c>
      <c r="AQ74" s="137">
        <v>0</v>
      </c>
      <c r="AR74" s="112">
        <v>0</v>
      </c>
      <c r="AS74" s="112">
        <v>0</v>
      </c>
      <c r="AT74" s="137">
        <v>0</v>
      </c>
      <c r="AU74" s="137">
        <v>0</v>
      </c>
      <c r="AV74" s="112">
        <v>0</v>
      </c>
      <c r="AW74" s="112">
        <v>0</v>
      </c>
      <c r="AX74" s="75">
        <f t="shared" si="15"/>
        <v>153104</v>
      </c>
      <c r="AY74" s="75"/>
      <c r="AZ74" s="75">
        <v>140766</v>
      </c>
      <c r="BA74" s="75"/>
      <c r="BB74" s="83">
        <f t="shared" si="11"/>
        <v>293870</v>
      </c>
      <c r="BD74" s="124">
        <f t="shared" si="12"/>
        <v>153104</v>
      </c>
      <c r="BE74" s="124">
        <f t="shared" si="13"/>
        <v>0</v>
      </c>
      <c r="BL74" s="75"/>
      <c r="BM74" s="75">
        <v>153104</v>
      </c>
      <c r="BN74" s="75">
        <f t="shared" si="14"/>
        <v>155829.2512</v>
      </c>
      <c r="BO74" s="143">
        <v>1.78E-2</v>
      </c>
      <c r="BP74" s="158"/>
      <c r="BQ74" s="37"/>
      <c r="BT74" s="38"/>
    </row>
    <row r="75" spans="1:72" x14ac:dyDescent="0.25">
      <c r="A75" s="6">
        <v>51326</v>
      </c>
      <c r="B75" s="35" t="s">
        <v>103</v>
      </c>
      <c r="C75" s="75">
        <v>0</v>
      </c>
      <c r="D75" s="75">
        <v>70000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f t="shared" si="9"/>
        <v>70000</v>
      </c>
      <c r="M75" s="75"/>
      <c r="N75" s="79">
        <v>0</v>
      </c>
      <c r="O75" s="79">
        <v>0</v>
      </c>
      <c r="P75" s="75">
        <v>0</v>
      </c>
      <c r="Q75" s="75">
        <v>0</v>
      </c>
      <c r="R75" s="79">
        <v>0</v>
      </c>
      <c r="S75" s="79">
        <v>0</v>
      </c>
      <c r="T75" s="75">
        <v>0</v>
      </c>
      <c r="U75" s="75">
        <v>0</v>
      </c>
      <c r="V75" s="137">
        <v>0</v>
      </c>
      <c r="W75" s="79">
        <v>0</v>
      </c>
      <c r="X75" s="112">
        <v>33591</v>
      </c>
      <c r="Y75" s="112">
        <v>0</v>
      </c>
      <c r="Z75" s="137">
        <v>0</v>
      </c>
      <c r="AA75" s="80">
        <v>0</v>
      </c>
      <c r="AB75" s="112">
        <v>0</v>
      </c>
      <c r="AC75" s="112">
        <v>0</v>
      </c>
      <c r="AD75" s="81">
        <v>0</v>
      </c>
      <c r="AE75" s="81">
        <v>0</v>
      </c>
      <c r="AF75" s="137">
        <v>0</v>
      </c>
      <c r="AG75" s="139">
        <v>0</v>
      </c>
      <c r="AH75" s="82">
        <v>0</v>
      </c>
      <c r="AI75" s="82">
        <v>0</v>
      </c>
      <c r="AJ75" s="112">
        <v>0</v>
      </c>
      <c r="AK75" s="112">
        <v>0</v>
      </c>
      <c r="AL75" s="137">
        <v>0</v>
      </c>
      <c r="AM75" s="137">
        <v>0</v>
      </c>
      <c r="AN75" s="112">
        <v>0</v>
      </c>
      <c r="AO75" s="116">
        <v>0</v>
      </c>
      <c r="AP75" s="137">
        <v>0</v>
      </c>
      <c r="AQ75" s="137">
        <v>0</v>
      </c>
      <c r="AR75" s="112">
        <v>0</v>
      </c>
      <c r="AS75" s="112">
        <v>0</v>
      </c>
      <c r="AT75" s="137">
        <v>0</v>
      </c>
      <c r="AU75" s="137">
        <v>0</v>
      </c>
      <c r="AV75" s="112">
        <v>0</v>
      </c>
      <c r="AW75" s="112">
        <v>0</v>
      </c>
      <c r="AX75" s="75">
        <f t="shared" si="15"/>
        <v>33591</v>
      </c>
      <c r="AY75" s="75"/>
      <c r="AZ75" s="75">
        <v>46000</v>
      </c>
      <c r="BA75" s="75"/>
      <c r="BB75" s="83">
        <f t="shared" si="11"/>
        <v>149591</v>
      </c>
      <c r="BD75" s="124">
        <f t="shared" si="12"/>
        <v>33591</v>
      </c>
      <c r="BE75" s="124">
        <f t="shared" si="13"/>
        <v>0</v>
      </c>
      <c r="BL75" s="75"/>
      <c r="BM75" s="75">
        <v>33591</v>
      </c>
      <c r="BN75" s="75">
        <f t="shared" si="14"/>
        <v>34188.919800000003</v>
      </c>
      <c r="BO75" s="143">
        <v>1.78E-2</v>
      </c>
      <c r="BQ75" s="8"/>
      <c r="BT75" s="38"/>
    </row>
    <row r="76" spans="1:72" x14ac:dyDescent="0.25">
      <c r="A76" s="6">
        <v>51330</v>
      </c>
      <c r="B76" s="35" t="s">
        <v>104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f t="shared" si="9"/>
        <v>0</v>
      </c>
      <c r="M76" s="75"/>
      <c r="N76" s="79">
        <v>0</v>
      </c>
      <c r="O76" s="79">
        <v>0</v>
      </c>
      <c r="P76" s="75">
        <v>0</v>
      </c>
      <c r="Q76" s="75">
        <v>0</v>
      </c>
      <c r="R76" s="79">
        <v>0</v>
      </c>
      <c r="S76" s="79">
        <v>0</v>
      </c>
      <c r="T76" s="75">
        <v>0</v>
      </c>
      <c r="U76" s="75">
        <v>0</v>
      </c>
      <c r="V76" s="137">
        <v>0</v>
      </c>
      <c r="W76" s="79">
        <v>0</v>
      </c>
      <c r="X76" s="112">
        <v>837922</v>
      </c>
      <c r="Y76" s="112">
        <v>0</v>
      </c>
      <c r="Z76" s="137">
        <v>0</v>
      </c>
      <c r="AA76" s="80">
        <v>0</v>
      </c>
      <c r="AB76" s="112">
        <v>0</v>
      </c>
      <c r="AC76" s="112">
        <v>0</v>
      </c>
      <c r="AD76" s="81">
        <v>0</v>
      </c>
      <c r="AE76" s="81">
        <v>0</v>
      </c>
      <c r="AF76" s="137">
        <v>0</v>
      </c>
      <c r="AG76" s="139">
        <v>0</v>
      </c>
      <c r="AH76" s="82">
        <v>0</v>
      </c>
      <c r="AI76" s="82">
        <v>0</v>
      </c>
      <c r="AJ76" s="112">
        <v>0</v>
      </c>
      <c r="AK76" s="112">
        <v>0</v>
      </c>
      <c r="AL76" s="137">
        <v>0</v>
      </c>
      <c r="AM76" s="137">
        <v>0</v>
      </c>
      <c r="AN76" s="112">
        <v>0</v>
      </c>
      <c r="AO76" s="116">
        <v>0</v>
      </c>
      <c r="AP76" s="137">
        <v>0</v>
      </c>
      <c r="AQ76" s="137">
        <v>0</v>
      </c>
      <c r="AR76" s="112">
        <v>0</v>
      </c>
      <c r="AS76" s="112">
        <v>0</v>
      </c>
      <c r="AT76" s="137">
        <v>0</v>
      </c>
      <c r="AU76" s="137">
        <v>0</v>
      </c>
      <c r="AV76" s="112">
        <v>0</v>
      </c>
      <c r="AW76" s="112">
        <v>0</v>
      </c>
      <c r="AX76" s="75">
        <f t="shared" si="15"/>
        <v>837922</v>
      </c>
      <c r="AY76" s="75"/>
      <c r="AZ76" s="75">
        <v>0</v>
      </c>
      <c r="BA76" s="75"/>
      <c r="BB76" s="83">
        <f t="shared" si="11"/>
        <v>837922</v>
      </c>
      <c r="BD76" s="124">
        <f t="shared" si="12"/>
        <v>837922</v>
      </c>
      <c r="BE76" s="124">
        <f t="shared" si="13"/>
        <v>0</v>
      </c>
      <c r="BL76" s="75"/>
      <c r="BM76" s="75">
        <v>837922</v>
      </c>
      <c r="BN76" s="75">
        <f t="shared" si="14"/>
        <v>852837.01160000009</v>
      </c>
      <c r="BO76" s="143">
        <v>1.78E-2</v>
      </c>
      <c r="BP76" s="158"/>
      <c r="BQ76" s="37"/>
      <c r="BT76" s="38"/>
    </row>
    <row r="77" spans="1:72" x14ac:dyDescent="0.25">
      <c r="A77" s="6">
        <v>51335</v>
      </c>
      <c r="B77" s="35" t="s">
        <v>105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f t="shared" si="9"/>
        <v>0</v>
      </c>
      <c r="M77" s="75"/>
      <c r="N77" s="79">
        <v>0</v>
      </c>
      <c r="O77" s="79">
        <v>0</v>
      </c>
      <c r="P77" s="75">
        <v>0</v>
      </c>
      <c r="Q77" s="75">
        <v>0</v>
      </c>
      <c r="R77" s="79">
        <v>0</v>
      </c>
      <c r="S77" s="79">
        <v>0</v>
      </c>
      <c r="T77" s="75">
        <v>0</v>
      </c>
      <c r="U77" s="75">
        <v>0</v>
      </c>
      <c r="V77" s="137">
        <v>0</v>
      </c>
      <c r="W77" s="79">
        <v>0</v>
      </c>
      <c r="X77" s="112">
        <v>0</v>
      </c>
      <c r="Y77" s="112">
        <v>0</v>
      </c>
      <c r="Z77" s="137">
        <v>0</v>
      </c>
      <c r="AA77" s="80">
        <v>0</v>
      </c>
      <c r="AB77" s="112">
        <v>0</v>
      </c>
      <c r="AC77" s="112">
        <v>0</v>
      </c>
      <c r="AD77" s="81">
        <v>0</v>
      </c>
      <c r="AE77" s="81">
        <v>0</v>
      </c>
      <c r="AF77" s="137">
        <v>0</v>
      </c>
      <c r="AG77" s="139">
        <v>0</v>
      </c>
      <c r="AH77" s="82">
        <v>0</v>
      </c>
      <c r="AI77" s="82">
        <v>0</v>
      </c>
      <c r="AJ77" s="112">
        <v>0</v>
      </c>
      <c r="AK77" s="112">
        <v>0</v>
      </c>
      <c r="AL77" s="137">
        <v>0</v>
      </c>
      <c r="AM77" s="137">
        <v>0</v>
      </c>
      <c r="AN77" s="112">
        <v>0</v>
      </c>
      <c r="AO77" s="116">
        <v>0</v>
      </c>
      <c r="AP77" s="137">
        <v>0</v>
      </c>
      <c r="AQ77" s="137">
        <v>0</v>
      </c>
      <c r="AR77" s="112">
        <v>0</v>
      </c>
      <c r="AS77" s="112">
        <v>0</v>
      </c>
      <c r="AT77" s="137">
        <v>0</v>
      </c>
      <c r="AU77" s="137">
        <v>0</v>
      </c>
      <c r="AV77" s="112">
        <v>0</v>
      </c>
      <c r="AW77" s="112">
        <v>0</v>
      </c>
      <c r="AX77" s="75">
        <f t="shared" si="15"/>
        <v>0</v>
      </c>
      <c r="AY77" s="75"/>
      <c r="AZ77" s="75">
        <v>7173654</v>
      </c>
      <c r="BA77" s="75"/>
      <c r="BB77" s="83">
        <f t="shared" si="11"/>
        <v>7173654</v>
      </c>
      <c r="BD77" s="124">
        <f t="shared" si="12"/>
        <v>0</v>
      </c>
      <c r="BE77" s="124">
        <f t="shared" si="13"/>
        <v>0</v>
      </c>
      <c r="BL77" s="75"/>
      <c r="BM77" s="75">
        <v>0</v>
      </c>
      <c r="BN77" s="75">
        <f t="shared" si="14"/>
        <v>0</v>
      </c>
      <c r="BO77" s="143">
        <v>1.78E-2</v>
      </c>
      <c r="BQ77" s="8"/>
      <c r="BT77" s="38"/>
    </row>
    <row r="78" spans="1:72" x14ac:dyDescent="0.25">
      <c r="A78" s="39">
        <v>51340</v>
      </c>
      <c r="B78" s="122" t="s">
        <v>106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75">
        <v>0</v>
      </c>
      <c r="J78" s="84">
        <v>0</v>
      </c>
      <c r="K78" s="84">
        <v>0</v>
      </c>
      <c r="L78" s="75">
        <f t="shared" si="9"/>
        <v>0</v>
      </c>
      <c r="M78" s="75"/>
      <c r="N78" s="85">
        <v>0</v>
      </c>
      <c r="O78" s="79">
        <v>0</v>
      </c>
      <c r="P78" s="75">
        <v>0</v>
      </c>
      <c r="Q78" s="75">
        <v>0</v>
      </c>
      <c r="R78" s="79">
        <v>0</v>
      </c>
      <c r="S78" s="79">
        <v>0</v>
      </c>
      <c r="T78" s="84">
        <v>0</v>
      </c>
      <c r="U78" s="75">
        <v>0</v>
      </c>
      <c r="V78" s="137">
        <v>0</v>
      </c>
      <c r="W78" s="79">
        <v>0</v>
      </c>
      <c r="X78" s="112">
        <v>0</v>
      </c>
      <c r="Y78" s="113">
        <v>0</v>
      </c>
      <c r="Z78" s="137">
        <v>0</v>
      </c>
      <c r="AA78" s="80">
        <v>0</v>
      </c>
      <c r="AB78" s="112">
        <v>0</v>
      </c>
      <c r="AC78" s="112">
        <v>0</v>
      </c>
      <c r="AD78" s="81">
        <v>0</v>
      </c>
      <c r="AE78" s="81">
        <v>0</v>
      </c>
      <c r="AF78" s="137">
        <v>0</v>
      </c>
      <c r="AG78" s="139">
        <v>0</v>
      </c>
      <c r="AH78" s="82">
        <v>0</v>
      </c>
      <c r="AI78" s="82">
        <v>0</v>
      </c>
      <c r="AJ78" s="112">
        <v>0</v>
      </c>
      <c r="AK78" s="112">
        <v>0</v>
      </c>
      <c r="AL78" s="137">
        <v>0</v>
      </c>
      <c r="AM78" s="137">
        <v>0</v>
      </c>
      <c r="AN78" s="112">
        <v>0</v>
      </c>
      <c r="AO78" s="116">
        <v>0</v>
      </c>
      <c r="AP78" s="137">
        <v>0</v>
      </c>
      <c r="AQ78" s="137">
        <v>0</v>
      </c>
      <c r="AR78" s="113">
        <v>0</v>
      </c>
      <c r="AS78" s="112">
        <v>0</v>
      </c>
      <c r="AT78" s="137">
        <v>0</v>
      </c>
      <c r="AU78" s="138">
        <v>0</v>
      </c>
      <c r="AV78" s="113">
        <v>0</v>
      </c>
      <c r="AW78" s="112">
        <v>0</v>
      </c>
      <c r="AX78" s="75">
        <f t="shared" si="15"/>
        <v>0</v>
      </c>
      <c r="AY78" s="75"/>
      <c r="AZ78" s="75">
        <v>849858</v>
      </c>
      <c r="BA78" s="75"/>
      <c r="BB78" s="88">
        <f t="shared" si="11"/>
        <v>849858</v>
      </c>
      <c r="BD78" s="124">
        <f t="shared" si="12"/>
        <v>0</v>
      </c>
      <c r="BE78" s="124">
        <f t="shared" si="13"/>
        <v>0</v>
      </c>
      <c r="BK78" s="6"/>
      <c r="BL78" s="75"/>
      <c r="BM78" s="75">
        <v>0</v>
      </c>
      <c r="BN78" s="75">
        <f t="shared" si="14"/>
        <v>0</v>
      </c>
      <c r="BO78" s="143">
        <v>1.78E-2</v>
      </c>
      <c r="BQ78" s="8"/>
    </row>
    <row r="79" spans="1:72" s="13" customFormat="1" x14ac:dyDescent="0.25">
      <c r="A79" s="329" t="s">
        <v>107</v>
      </c>
      <c r="B79" s="329"/>
      <c r="C79" s="78">
        <f>SUM(C24:C78)</f>
        <v>473540</v>
      </c>
      <c r="D79" s="78">
        <f>SUM(D24:D78)</f>
        <v>299980</v>
      </c>
      <c r="E79" s="78">
        <f>SUM(E24:E78)</f>
        <v>94585</v>
      </c>
      <c r="F79" s="78">
        <f t="shared" ref="F79:AZ79" si="16">SUM(F24:F78)</f>
        <v>467367</v>
      </c>
      <c r="G79" s="78">
        <f t="shared" si="16"/>
        <v>630010</v>
      </c>
      <c r="H79" s="78">
        <f t="shared" si="16"/>
        <v>411875</v>
      </c>
      <c r="I79" s="78">
        <f t="shared" si="16"/>
        <v>41000</v>
      </c>
      <c r="J79" s="78">
        <f t="shared" si="16"/>
        <v>69200</v>
      </c>
      <c r="K79" s="78">
        <f t="shared" si="16"/>
        <v>251900</v>
      </c>
      <c r="L79" s="78">
        <f t="shared" si="16"/>
        <v>2739457</v>
      </c>
      <c r="M79" s="97"/>
      <c r="N79" s="78">
        <f>SUM(N24:N78)</f>
        <v>499532</v>
      </c>
      <c r="O79" s="78">
        <f>SUM(O24:O78)</f>
        <v>39639</v>
      </c>
      <c r="P79" s="78">
        <f>SUM(P24:P78)</f>
        <v>0</v>
      </c>
      <c r="Q79" s="78">
        <f>SUM(Q24:Q78)</f>
        <v>0</v>
      </c>
      <c r="R79" s="78">
        <f t="shared" si="16"/>
        <v>174474</v>
      </c>
      <c r="S79" s="78">
        <f t="shared" si="16"/>
        <v>5116</v>
      </c>
      <c r="T79" s="78">
        <f t="shared" si="16"/>
        <v>34521</v>
      </c>
      <c r="U79" s="78">
        <f t="shared" si="16"/>
        <v>612</v>
      </c>
      <c r="V79" s="78">
        <f t="shared" si="16"/>
        <v>348980</v>
      </c>
      <c r="W79" s="78">
        <f t="shared" si="16"/>
        <v>0</v>
      </c>
      <c r="X79" s="78">
        <f>SUM(X24:X78)</f>
        <v>2310741</v>
      </c>
      <c r="Y79" s="78">
        <f>SUM(Y24:Y78)</f>
        <v>380137</v>
      </c>
      <c r="Z79" s="78">
        <f>SUM(Z24:Z78)</f>
        <v>12440</v>
      </c>
      <c r="AA79" s="78">
        <f t="shared" si="16"/>
        <v>0</v>
      </c>
      <c r="AB79" s="78">
        <f t="shared" si="16"/>
        <v>434062</v>
      </c>
      <c r="AC79" s="78">
        <f t="shared" si="16"/>
        <v>38683</v>
      </c>
      <c r="AD79" s="78">
        <f t="shared" si="16"/>
        <v>0</v>
      </c>
      <c r="AE79" s="78">
        <f>SUM(AE24:AE78)</f>
        <v>0</v>
      </c>
      <c r="AF79" s="78">
        <f t="shared" si="16"/>
        <v>240841</v>
      </c>
      <c r="AG79" s="78">
        <f t="shared" si="16"/>
        <v>22236</v>
      </c>
      <c r="AH79" s="78">
        <f t="shared" si="16"/>
        <v>0</v>
      </c>
      <c r="AI79" s="78">
        <f t="shared" si="16"/>
        <v>0</v>
      </c>
      <c r="AJ79" s="78">
        <f t="shared" si="16"/>
        <v>135024</v>
      </c>
      <c r="AK79" s="78">
        <f t="shared" si="16"/>
        <v>10754</v>
      </c>
      <c r="AL79" s="78">
        <f t="shared" si="16"/>
        <v>41201</v>
      </c>
      <c r="AM79" s="78">
        <f t="shared" si="16"/>
        <v>1227</v>
      </c>
      <c r="AN79" s="78">
        <f t="shared" si="16"/>
        <v>154869</v>
      </c>
      <c r="AO79" s="78">
        <f t="shared" si="16"/>
        <v>10054</v>
      </c>
      <c r="AP79" s="78">
        <f t="shared" si="16"/>
        <v>230463</v>
      </c>
      <c r="AQ79" s="78">
        <f t="shared" si="16"/>
        <v>5907</v>
      </c>
      <c r="AR79" s="78">
        <f t="shared" si="16"/>
        <v>132744</v>
      </c>
      <c r="AS79" s="78">
        <f t="shared" si="16"/>
        <v>4692</v>
      </c>
      <c r="AT79" s="78">
        <f t="shared" si="16"/>
        <v>35580</v>
      </c>
      <c r="AU79" s="78">
        <f t="shared" si="16"/>
        <v>16788</v>
      </c>
      <c r="AV79" s="78">
        <f t="shared" si="16"/>
        <v>1003251</v>
      </c>
      <c r="AW79" s="78">
        <f t="shared" si="16"/>
        <v>40680</v>
      </c>
      <c r="AX79" s="78">
        <f t="shared" si="16"/>
        <v>6365248</v>
      </c>
      <c r="AY79" s="97"/>
      <c r="AZ79" s="78">
        <f t="shared" si="16"/>
        <v>22235204</v>
      </c>
      <c r="BA79" s="97"/>
      <c r="BB79" s="78">
        <f>SUM(BB24:BB78)</f>
        <v>31339909</v>
      </c>
      <c r="BC79" s="29"/>
      <c r="BD79" s="28">
        <f>SUM(BD24:BD78)</f>
        <v>5788723</v>
      </c>
      <c r="BE79" s="28">
        <f>SUM(BE24:BE78)</f>
        <v>576525</v>
      </c>
      <c r="BF79" s="29"/>
      <c r="BG79" s="5"/>
      <c r="BH79" s="5"/>
      <c r="BI79" s="5"/>
      <c r="BJ79" s="5"/>
      <c r="BK79" s="6"/>
      <c r="BL79" s="78">
        <f>SUM(BL24:BL78)</f>
        <v>0</v>
      </c>
      <c r="BM79" s="78">
        <f>SUM(BM24:BM78)</f>
        <v>6364075</v>
      </c>
      <c r="BN79" s="78">
        <f>SUM(BN24:BN78)</f>
        <v>6493985.0735504152</v>
      </c>
      <c r="BO79" s="143"/>
      <c r="BP79" s="143"/>
      <c r="BQ79" s="8"/>
      <c r="BR79" s="5"/>
      <c r="BS79" s="5"/>
      <c r="BT79" s="5"/>
    </row>
    <row r="80" spans="1:72" s="38" customFormat="1" x14ac:dyDescent="0.25">
      <c r="A80" s="40"/>
      <c r="B80" s="40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26"/>
      <c r="BD80" s="26"/>
      <c r="BE80" s="26"/>
      <c r="BF80" s="26"/>
      <c r="BG80" s="5"/>
      <c r="BH80" s="5"/>
      <c r="BI80" s="5"/>
      <c r="BJ80" s="5"/>
      <c r="BK80" s="6"/>
      <c r="BL80" s="102"/>
      <c r="BM80" s="102"/>
      <c r="BN80" s="102"/>
      <c r="BO80" s="143"/>
      <c r="BP80" s="143"/>
      <c r="BQ80" s="8"/>
      <c r="BR80" s="5"/>
      <c r="BT80" s="5"/>
    </row>
    <row r="81" spans="1:72" s="13" customFormat="1" x14ac:dyDescent="0.25">
      <c r="A81" s="41"/>
      <c r="B81" s="45" t="s">
        <v>343</v>
      </c>
      <c r="C81" s="76">
        <f t="shared" ref="C81:BB81" si="17">C79+C22</f>
        <v>824012</v>
      </c>
      <c r="D81" s="76">
        <f t="shared" si="17"/>
        <v>438298</v>
      </c>
      <c r="E81" s="76">
        <f t="shared" si="17"/>
        <v>94585</v>
      </c>
      <c r="F81" s="76">
        <f t="shared" si="17"/>
        <v>1750971</v>
      </c>
      <c r="G81" s="76">
        <f t="shared" si="17"/>
        <v>1113199</v>
      </c>
      <c r="H81" s="76">
        <f t="shared" si="17"/>
        <v>759809</v>
      </c>
      <c r="I81" s="76">
        <f t="shared" si="17"/>
        <v>550412</v>
      </c>
      <c r="J81" s="76">
        <f t="shared" si="17"/>
        <v>202367</v>
      </c>
      <c r="K81" s="76">
        <f t="shared" si="17"/>
        <v>537476</v>
      </c>
      <c r="L81" s="76">
        <f t="shared" si="17"/>
        <v>6271129</v>
      </c>
      <c r="M81" s="89"/>
      <c r="N81" s="76">
        <f>N79+N22</f>
        <v>499532</v>
      </c>
      <c r="O81" s="76">
        <f>O79+O22</f>
        <v>1272514</v>
      </c>
      <c r="P81" s="76">
        <f>P79+P22</f>
        <v>0</v>
      </c>
      <c r="Q81" s="76">
        <f>Q79+Q22</f>
        <v>0</v>
      </c>
      <c r="R81" s="76">
        <f t="shared" si="17"/>
        <v>174474</v>
      </c>
      <c r="S81" s="76">
        <f t="shared" si="17"/>
        <v>133460</v>
      </c>
      <c r="T81" s="76">
        <f t="shared" si="17"/>
        <v>34521</v>
      </c>
      <c r="U81" s="76">
        <f t="shared" si="17"/>
        <v>16046</v>
      </c>
      <c r="V81" s="76">
        <f t="shared" si="17"/>
        <v>348980</v>
      </c>
      <c r="W81" s="76">
        <f t="shared" si="17"/>
        <v>0</v>
      </c>
      <c r="X81" s="76">
        <f>X79+X22</f>
        <v>2310741</v>
      </c>
      <c r="Y81" s="76">
        <f>Y79+Y22</f>
        <v>657727</v>
      </c>
      <c r="Z81" s="76">
        <f>Z79+Z22</f>
        <v>385550</v>
      </c>
      <c r="AA81" s="76">
        <f t="shared" si="17"/>
        <v>0</v>
      </c>
      <c r="AB81" s="76">
        <f t="shared" si="17"/>
        <v>434062</v>
      </c>
      <c r="AC81" s="76">
        <f t="shared" si="17"/>
        <v>1400820</v>
      </c>
      <c r="AD81" s="76">
        <f t="shared" si="17"/>
        <v>0</v>
      </c>
      <c r="AE81" s="76">
        <f t="shared" si="17"/>
        <v>0</v>
      </c>
      <c r="AF81" s="76">
        <f t="shared" si="17"/>
        <v>240841</v>
      </c>
      <c r="AG81" s="76">
        <f t="shared" si="17"/>
        <v>893306</v>
      </c>
      <c r="AH81" s="76">
        <f t="shared" si="17"/>
        <v>0</v>
      </c>
      <c r="AI81" s="76">
        <f t="shared" si="17"/>
        <v>0</v>
      </c>
      <c r="AJ81" s="76">
        <f t="shared" si="17"/>
        <v>135024</v>
      </c>
      <c r="AK81" s="76">
        <f t="shared" si="17"/>
        <v>305120</v>
      </c>
      <c r="AL81" s="76">
        <f t="shared" si="17"/>
        <v>41201</v>
      </c>
      <c r="AM81" s="76">
        <f t="shared" si="17"/>
        <v>34016</v>
      </c>
      <c r="AN81" s="76">
        <f t="shared" si="17"/>
        <v>154869</v>
      </c>
      <c r="AO81" s="76">
        <f t="shared" si="17"/>
        <v>300401</v>
      </c>
      <c r="AP81" s="76">
        <f t="shared" si="17"/>
        <v>230463</v>
      </c>
      <c r="AQ81" s="76">
        <f t="shared" si="17"/>
        <v>137560</v>
      </c>
      <c r="AR81" s="76">
        <f t="shared" si="17"/>
        <v>132744</v>
      </c>
      <c r="AS81" s="76">
        <f t="shared" si="17"/>
        <v>580194</v>
      </c>
      <c r="AT81" s="76">
        <f t="shared" si="17"/>
        <v>35580</v>
      </c>
      <c r="AU81" s="76">
        <f t="shared" si="17"/>
        <v>1023619</v>
      </c>
      <c r="AV81" s="76">
        <f t="shared" si="17"/>
        <v>1003251</v>
      </c>
      <c r="AW81" s="76">
        <f t="shared" si="17"/>
        <v>1273056</v>
      </c>
      <c r="AX81" s="76">
        <f t="shared" si="17"/>
        <v>14189672</v>
      </c>
      <c r="AY81" s="89"/>
      <c r="AZ81" s="76">
        <f t="shared" si="17"/>
        <v>22523633</v>
      </c>
      <c r="BA81" s="89"/>
      <c r="BB81" s="76">
        <f t="shared" si="17"/>
        <v>42984434</v>
      </c>
      <c r="BC81" s="12"/>
      <c r="BD81" s="11">
        <f>BD79+BD22</f>
        <v>6161833</v>
      </c>
      <c r="BE81" s="11">
        <f>BE79+BE22</f>
        <v>8027839</v>
      </c>
      <c r="BF81" s="12"/>
      <c r="BG81" s="5"/>
      <c r="BH81" s="5"/>
      <c r="BI81" s="5"/>
      <c r="BJ81" s="5"/>
      <c r="BK81" s="6"/>
      <c r="BL81" s="76">
        <f>BL79+BL22</f>
        <v>373110</v>
      </c>
      <c r="BM81" s="76">
        <f>BM79+BM22</f>
        <v>13815389</v>
      </c>
      <c r="BN81" s="76">
        <f>BN79+BN22</f>
        <v>14716630.573450416</v>
      </c>
      <c r="BO81" s="143"/>
      <c r="BP81" s="143"/>
      <c r="BQ81" s="8"/>
      <c r="BR81" s="5"/>
      <c r="BT81" s="5"/>
    </row>
    <row r="82" spans="1:72" s="13" customFormat="1" x14ac:dyDescent="0.25">
      <c r="A82" s="42"/>
      <c r="B82" s="42" t="s">
        <v>344</v>
      </c>
      <c r="C82" s="162">
        <f>C81-SUM(C71:C78)</f>
        <v>824012</v>
      </c>
      <c r="D82" s="162">
        <f>D81-SUM(D71:D78)</f>
        <v>368298</v>
      </c>
      <c r="E82" s="162">
        <f t="shared" ref="E82:BB82" si="18">E81-SUM(E71:E78)</f>
        <v>94585</v>
      </c>
      <c r="F82" s="162">
        <f t="shared" si="18"/>
        <v>1750971</v>
      </c>
      <c r="G82" s="162">
        <f t="shared" si="18"/>
        <v>1113199</v>
      </c>
      <c r="H82" s="162">
        <f t="shared" si="18"/>
        <v>759809</v>
      </c>
      <c r="I82" s="162">
        <f t="shared" si="18"/>
        <v>550412</v>
      </c>
      <c r="J82" s="162">
        <f t="shared" si="18"/>
        <v>202367</v>
      </c>
      <c r="K82" s="162">
        <f t="shared" si="18"/>
        <v>537476</v>
      </c>
      <c r="L82" s="89">
        <f t="shared" si="18"/>
        <v>6201129</v>
      </c>
      <c r="M82" s="89"/>
      <c r="N82" s="162">
        <f t="shared" si="18"/>
        <v>499532</v>
      </c>
      <c r="O82" s="162">
        <f t="shared" si="18"/>
        <v>1272514</v>
      </c>
      <c r="P82" s="162">
        <f t="shared" si="18"/>
        <v>0</v>
      </c>
      <c r="Q82" s="162">
        <f t="shared" si="18"/>
        <v>0</v>
      </c>
      <c r="R82" s="162">
        <f t="shared" si="18"/>
        <v>174474</v>
      </c>
      <c r="S82" s="162">
        <f t="shared" si="18"/>
        <v>133460</v>
      </c>
      <c r="T82" s="162">
        <f t="shared" si="18"/>
        <v>34521</v>
      </c>
      <c r="U82" s="162">
        <f t="shared" si="18"/>
        <v>16046</v>
      </c>
      <c r="V82" s="162">
        <f t="shared" si="18"/>
        <v>348980</v>
      </c>
      <c r="W82" s="89"/>
      <c r="X82" s="162">
        <f t="shared" si="18"/>
        <v>928672</v>
      </c>
      <c r="Y82" s="162">
        <f t="shared" si="18"/>
        <v>657727</v>
      </c>
      <c r="Z82" s="162">
        <f t="shared" si="18"/>
        <v>385550</v>
      </c>
      <c r="AA82" s="89">
        <f t="shared" si="18"/>
        <v>0</v>
      </c>
      <c r="AB82" s="162">
        <f t="shared" si="18"/>
        <v>434062</v>
      </c>
      <c r="AC82" s="162">
        <f t="shared" si="18"/>
        <v>1400820</v>
      </c>
      <c r="AD82" s="89">
        <f t="shared" si="18"/>
        <v>0</v>
      </c>
      <c r="AE82" s="89">
        <f t="shared" si="18"/>
        <v>0</v>
      </c>
      <c r="AF82" s="162">
        <f t="shared" si="18"/>
        <v>240841</v>
      </c>
      <c r="AG82" s="162">
        <f t="shared" si="18"/>
        <v>893306</v>
      </c>
      <c r="AH82" s="89">
        <f t="shared" si="18"/>
        <v>0</v>
      </c>
      <c r="AI82" s="89">
        <f t="shared" si="18"/>
        <v>0</v>
      </c>
      <c r="AJ82" s="162">
        <f t="shared" si="18"/>
        <v>135024</v>
      </c>
      <c r="AK82" s="162">
        <f t="shared" si="18"/>
        <v>305120</v>
      </c>
      <c r="AL82" s="162">
        <f t="shared" si="18"/>
        <v>41201</v>
      </c>
      <c r="AM82" s="162">
        <f t="shared" si="18"/>
        <v>34016</v>
      </c>
      <c r="AN82" s="162">
        <f t="shared" si="18"/>
        <v>154869</v>
      </c>
      <c r="AO82" s="162">
        <f t="shared" si="18"/>
        <v>300401</v>
      </c>
      <c r="AP82" s="162">
        <f t="shared" si="18"/>
        <v>230463</v>
      </c>
      <c r="AQ82" s="162">
        <f t="shared" si="18"/>
        <v>137560</v>
      </c>
      <c r="AR82" s="162">
        <f t="shared" si="18"/>
        <v>132744</v>
      </c>
      <c r="AS82" s="162">
        <f t="shared" si="18"/>
        <v>580194</v>
      </c>
      <c r="AT82" s="162">
        <f t="shared" si="18"/>
        <v>35580</v>
      </c>
      <c r="AU82" s="162">
        <f t="shared" si="18"/>
        <v>1023619</v>
      </c>
      <c r="AV82" s="162">
        <f t="shared" si="18"/>
        <v>1003251</v>
      </c>
      <c r="AW82" s="162">
        <f t="shared" si="18"/>
        <v>1273056</v>
      </c>
      <c r="AX82" s="89">
        <f t="shared" si="18"/>
        <v>12807603</v>
      </c>
      <c r="AY82" s="89"/>
      <c r="AZ82" s="162">
        <f t="shared" si="18"/>
        <v>13486327</v>
      </c>
      <c r="BA82" s="89"/>
      <c r="BB82" s="89">
        <f t="shared" si="18"/>
        <v>32495059</v>
      </c>
      <c r="BC82" s="12"/>
      <c r="BD82" s="12">
        <f>BD81-SUM(BD71:BD78)</f>
        <v>4779764</v>
      </c>
      <c r="BE82" s="12">
        <f>BE81-SUM(BE71:BE78)</f>
        <v>8027839</v>
      </c>
      <c r="BF82" s="12"/>
      <c r="BG82" s="5"/>
      <c r="BH82" s="5"/>
      <c r="BI82" s="5"/>
      <c r="BJ82" s="5"/>
      <c r="BK82" s="6"/>
      <c r="BL82" s="89"/>
      <c r="BM82" s="89"/>
      <c r="BN82" s="89"/>
      <c r="BO82" s="143"/>
      <c r="BP82" s="143"/>
      <c r="BQ82" s="8"/>
      <c r="BR82" s="5"/>
      <c r="BT82" s="5"/>
    </row>
    <row r="83" spans="1:72" s="74" customFormat="1" hidden="1" x14ac:dyDescent="0.25">
      <c r="A83" s="69"/>
      <c r="B83" s="161" t="s">
        <v>197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4">
        <f>L81-SUM(L71:L78)</f>
        <v>6201129</v>
      </c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>
        <f>X82-X30-SUM(X62:X69)</f>
        <v>639232</v>
      </c>
      <c r="Y83" s="103">
        <f t="shared" ref="Y83:AG83" si="19">Y82-Y30-SUM(Y62:Y69)</f>
        <v>467092</v>
      </c>
      <c r="Z83" s="103">
        <f t="shared" si="19"/>
        <v>373110</v>
      </c>
      <c r="AA83" s="103">
        <f t="shared" si="19"/>
        <v>0</v>
      </c>
      <c r="AB83" s="103">
        <f t="shared" si="19"/>
        <v>434062</v>
      </c>
      <c r="AC83" s="103">
        <f t="shared" si="19"/>
        <v>1400820</v>
      </c>
      <c r="AD83" s="103">
        <f t="shared" si="19"/>
        <v>0</v>
      </c>
      <c r="AE83" s="103">
        <f t="shared" si="19"/>
        <v>0</v>
      </c>
      <c r="AF83" s="103">
        <f t="shared" si="19"/>
        <v>240841</v>
      </c>
      <c r="AG83" s="103">
        <f t="shared" si="19"/>
        <v>893306</v>
      </c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>
        <f>AR82-AR30-SUM(AR62:AR69)</f>
        <v>99744</v>
      </c>
      <c r="AS83" s="103">
        <f>AS82-AS30-SUM(AS62:AS69)</f>
        <v>575994</v>
      </c>
      <c r="AT83" s="103">
        <f>AT82-AT30-SUM(AT62:AT69)</f>
        <v>35580</v>
      </c>
      <c r="AU83" s="103">
        <f>AU82-AU30-SUM(AU62:AU69)</f>
        <v>1007419</v>
      </c>
      <c r="AV83" s="103"/>
      <c r="AW83" s="103"/>
      <c r="AX83" s="103">
        <f>SUM(X83:AW83)</f>
        <v>6167200</v>
      </c>
      <c r="AY83" s="103"/>
      <c r="AZ83" s="103">
        <f>AZ81-SUM(AZ71:AZ78)</f>
        <v>13486327</v>
      </c>
      <c r="BA83" s="103"/>
      <c r="BB83" s="103">
        <f>BB81-SUM(BB71:BB78)</f>
        <v>32495059</v>
      </c>
      <c r="BC83" s="70"/>
      <c r="BD83" s="70"/>
      <c r="BE83" s="70"/>
      <c r="BF83" s="70"/>
      <c r="BG83" s="71"/>
      <c r="BH83" s="71"/>
      <c r="BI83" s="71"/>
      <c r="BJ83" s="71"/>
      <c r="BK83" s="72"/>
      <c r="BL83" s="103"/>
      <c r="BM83" s="103"/>
      <c r="BN83" s="103"/>
      <c r="BO83" s="149"/>
      <c r="BP83" s="149"/>
      <c r="BQ83" s="73"/>
      <c r="BR83" s="71"/>
      <c r="BT83" s="71"/>
    </row>
    <row r="84" spans="1:72" x14ac:dyDescent="0.25">
      <c r="A84" s="1" t="s">
        <v>108</v>
      </c>
      <c r="B84" s="14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6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6"/>
      <c r="AZ84" s="105"/>
      <c r="BA84" s="106"/>
      <c r="BB84" s="105"/>
      <c r="BC84" s="43"/>
      <c r="BD84" s="28"/>
      <c r="BE84" s="28"/>
      <c r="BF84" s="43"/>
      <c r="BK84" s="6"/>
      <c r="BL84" s="105"/>
      <c r="BM84" s="105"/>
      <c r="BN84" s="105"/>
      <c r="BQ84" s="8"/>
      <c r="BR84" s="38"/>
    </row>
    <row r="85" spans="1:72" x14ac:dyDescent="0.25">
      <c r="A85" s="6">
        <v>40210</v>
      </c>
      <c r="B85" s="35" t="s">
        <v>109</v>
      </c>
      <c r="C85" s="75"/>
      <c r="D85" s="75"/>
      <c r="E85" s="75"/>
      <c r="F85" s="75">
        <v>100000</v>
      </c>
      <c r="G85" s="75"/>
      <c r="H85" s="75"/>
      <c r="I85" s="75"/>
      <c r="J85" s="75"/>
      <c r="K85" s="75"/>
      <c r="L85" s="163">
        <f>SUM(C85:K85)</f>
        <v>100000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>
        <f t="shared" ref="AX85:AX94" si="20">SUM(N85:AV85)</f>
        <v>0</v>
      </c>
      <c r="AY85" s="75"/>
      <c r="AZ85" s="75">
        <v>0</v>
      </c>
      <c r="BA85" s="75"/>
      <c r="BB85" s="83">
        <f t="shared" ref="BB85:BB94" si="21">L85+AX85+AZ85</f>
        <v>100000</v>
      </c>
      <c r="BD85" s="124">
        <f t="shared" ref="BD85:BD101" si="22">+AV85+AT85+AR85+AP85+AN85+AL85+AJ85+AH85+AF85+AD85+AB85+AA85+Z85+X85+V85+T85+R85+P85+N85</f>
        <v>0</v>
      </c>
      <c r="BE85" s="124">
        <f t="shared" ref="BE85:BE101" si="23">AW85+AU85+AS85+AQ85+AO85+AM85+AK85+AI85+AG85+AE85+AC85+Y85+U85+S85+Q85+O85</f>
        <v>0</v>
      </c>
      <c r="BG85" s="18"/>
      <c r="BH85" s="18"/>
      <c r="BK85" s="6"/>
      <c r="BL85" s="75"/>
      <c r="BM85" s="75"/>
      <c r="BN85" s="75"/>
      <c r="BQ85" s="8"/>
      <c r="BR85" s="38"/>
    </row>
    <row r="86" spans="1:72" x14ac:dyDescent="0.25">
      <c r="A86" s="6">
        <v>40225</v>
      </c>
      <c r="B86" s="35" t="s">
        <v>110</v>
      </c>
      <c r="C86" s="75"/>
      <c r="D86" s="75"/>
      <c r="E86" s="75"/>
      <c r="F86" s="75">
        <v>0</v>
      </c>
      <c r="G86" s="75"/>
      <c r="H86" s="75"/>
      <c r="I86" s="75"/>
      <c r="J86" s="75"/>
      <c r="K86" s="75"/>
      <c r="L86" s="75">
        <f t="shared" ref="L86:L101" si="24">SUM(C86:K86)</f>
        <v>0</v>
      </c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>
        <f t="shared" si="20"/>
        <v>0</v>
      </c>
      <c r="AY86" s="75"/>
      <c r="AZ86" s="75">
        <v>0</v>
      </c>
      <c r="BA86" s="75"/>
      <c r="BB86" s="83">
        <f t="shared" si="21"/>
        <v>0</v>
      </c>
      <c r="BD86" s="124">
        <f t="shared" si="22"/>
        <v>0</v>
      </c>
      <c r="BE86" s="124">
        <f t="shared" si="23"/>
        <v>0</v>
      </c>
      <c r="BG86" s="7"/>
      <c r="BH86" s="7"/>
      <c r="BK86" s="6"/>
      <c r="BL86" s="75"/>
      <c r="BM86" s="75"/>
      <c r="BN86" s="75"/>
      <c r="BQ86" s="8"/>
    </row>
    <row r="87" spans="1:72" x14ac:dyDescent="0.25">
      <c r="A87" s="6">
        <v>40230</v>
      </c>
      <c r="B87" s="35" t="s">
        <v>111</v>
      </c>
      <c r="C87" s="75"/>
      <c r="D87" s="75"/>
      <c r="E87" s="75"/>
      <c r="F87" s="75">
        <v>0</v>
      </c>
      <c r="G87" s="75"/>
      <c r="H87" s="75"/>
      <c r="I87" s="75"/>
      <c r="J87" s="75"/>
      <c r="K87" s="75"/>
      <c r="L87" s="75">
        <f t="shared" si="24"/>
        <v>0</v>
      </c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>
        <f t="shared" si="20"/>
        <v>0</v>
      </c>
      <c r="AY87" s="75"/>
      <c r="AZ87" s="75">
        <v>0</v>
      </c>
      <c r="BA87" s="75"/>
      <c r="BB87" s="83">
        <f t="shared" si="21"/>
        <v>0</v>
      </c>
      <c r="BD87" s="124">
        <f t="shared" si="22"/>
        <v>0</v>
      </c>
      <c r="BE87" s="124">
        <f t="shared" si="23"/>
        <v>0</v>
      </c>
      <c r="BG87" s="7"/>
      <c r="BH87" s="7"/>
      <c r="BK87" s="6"/>
      <c r="BL87" s="75"/>
      <c r="BM87" s="75"/>
      <c r="BN87" s="75"/>
      <c r="BQ87" s="8"/>
    </row>
    <row r="88" spans="1:72" x14ac:dyDescent="0.25">
      <c r="A88" s="6">
        <v>40235</v>
      </c>
      <c r="B88" s="35" t="s">
        <v>112</v>
      </c>
      <c r="C88" s="75"/>
      <c r="D88" s="75"/>
      <c r="E88" s="75"/>
      <c r="F88" s="75">
        <v>0</v>
      </c>
      <c r="G88" s="75"/>
      <c r="H88" s="75"/>
      <c r="I88" s="75"/>
      <c r="J88" s="75"/>
      <c r="K88" s="75"/>
      <c r="L88" s="75">
        <f t="shared" si="24"/>
        <v>0</v>
      </c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>
        <f t="shared" si="20"/>
        <v>0</v>
      </c>
      <c r="AY88" s="75"/>
      <c r="AZ88" s="75">
        <v>0</v>
      </c>
      <c r="BA88" s="75"/>
      <c r="BB88" s="83">
        <f t="shared" si="21"/>
        <v>0</v>
      </c>
      <c r="BD88" s="124">
        <f t="shared" si="22"/>
        <v>0</v>
      </c>
      <c r="BE88" s="124">
        <f t="shared" si="23"/>
        <v>0</v>
      </c>
      <c r="BG88" s="7"/>
      <c r="BH88" s="7"/>
      <c r="BK88" s="6"/>
      <c r="BL88" s="75"/>
      <c r="BM88" s="75"/>
      <c r="BN88" s="75"/>
      <c r="BQ88" s="8"/>
    </row>
    <row r="89" spans="1:72" hidden="1" x14ac:dyDescent="0.25">
      <c r="A89" s="6">
        <v>40241</v>
      </c>
      <c r="B89" s="35" t="s">
        <v>113</v>
      </c>
      <c r="C89" s="75"/>
      <c r="D89" s="75"/>
      <c r="E89" s="75"/>
      <c r="F89" s="75">
        <v>0</v>
      </c>
      <c r="G89" s="75"/>
      <c r="H89" s="75"/>
      <c r="I89" s="75"/>
      <c r="J89" s="75"/>
      <c r="K89" s="75"/>
      <c r="L89" s="75">
        <f t="shared" si="24"/>
        <v>0</v>
      </c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>
        <f t="shared" si="20"/>
        <v>0</v>
      </c>
      <c r="AY89" s="75"/>
      <c r="AZ89" s="75"/>
      <c r="BA89" s="75"/>
      <c r="BB89" s="83">
        <f t="shared" si="21"/>
        <v>0</v>
      </c>
      <c r="BD89" s="124">
        <f t="shared" si="22"/>
        <v>0</v>
      </c>
      <c r="BE89" s="124">
        <f t="shared" si="23"/>
        <v>0</v>
      </c>
      <c r="BG89" s="7"/>
      <c r="BH89" s="7"/>
      <c r="BL89" s="75"/>
      <c r="BM89" s="75"/>
      <c r="BN89" s="75"/>
      <c r="BQ89" s="8"/>
    </row>
    <row r="90" spans="1:72" x14ac:dyDescent="0.25">
      <c r="A90" s="6">
        <v>40243</v>
      </c>
      <c r="B90" s="35" t="s">
        <v>114</v>
      </c>
      <c r="C90" s="75"/>
      <c r="D90" s="75"/>
      <c r="E90" s="75"/>
      <c r="F90" s="75">
        <v>-509040</v>
      </c>
      <c r="G90" s="75"/>
      <c r="H90" s="75"/>
      <c r="I90" s="75"/>
      <c r="J90" s="75"/>
      <c r="K90" s="75"/>
      <c r="L90" s="163">
        <f t="shared" si="24"/>
        <v>-509040</v>
      </c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>
        <f t="shared" si="20"/>
        <v>0</v>
      </c>
      <c r="AY90" s="75"/>
      <c r="AZ90" s="75">
        <v>0</v>
      </c>
      <c r="BA90" s="75"/>
      <c r="BB90" s="83">
        <f t="shared" si="21"/>
        <v>-509040</v>
      </c>
      <c r="BD90" s="124">
        <f t="shared" si="22"/>
        <v>0</v>
      </c>
      <c r="BE90" s="124">
        <f t="shared" si="23"/>
        <v>0</v>
      </c>
      <c r="BG90" s="7"/>
      <c r="BL90" s="75"/>
      <c r="BM90" s="75"/>
      <c r="BN90" s="75"/>
      <c r="BQ90" s="8"/>
    </row>
    <row r="91" spans="1:72" hidden="1" x14ac:dyDescent="0.25">
      <c r="A91" s="6">
        <v>40244</v>
      </c>
      <c r="B91" s="35" t="s">
        <v>115</v>
      </c>
      <c r="C91" s="75"/>
      <c r="D91" s="75"/>
      <c r="E91" s="75"/>
      <c r="F91" s="75">
        <v>0</v>
      </c>
      <c r="G91" s="75"/>
      <c r="H91" s="75"/>
      <c r="I91" s="75"/>
      <c r="J91" s="75"/>
      <c r="K91" s="75"/>
      <c r="L91" s="75">
        <f t="shared" si="24"/>
        <v>0</v>
      </c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>
        <f t="shared" si="20"/>
        <v>0</v>
      </c>
      <c r="AY91" s="75"/>
      <c r="AZ91" s="75"/>
      <c r="BA91" s="75"/>
      <c r="BB91" s="83">
        <f t="shared" si="21"/>
        <v>0</v>
      </c>
      <c r="BD91" s="124">
        <f t="shared" si="22"/>
        <v>0</v>
      </c>
      <c r="BE91" s="124">
        <f t="shared" si="23"/>
        <v>0</v>
      </c>
      <c r="BG91" s="8"/>
      <c r="BL91" s="75"/>
      <c r="BM91" s="75"/>
      <c r="BN91" s="75"/>
      <c r="BQ91" s="8"/>
    </row>
    <row r="92" spans="1:72" x14ac:dyDescent="0.25">
      <c r="A92" s="6">
        <v>40245</v>
      </c>
      <c r="B92" s="35" t="s">
        <v>116</v>
      </c>
      <c r="C92" s="75"/>
      <c r="D92" s="75"/>
      <c r="E92" s="75"/>
      <c r="F92" s="75">
        <v>-332040</v>
      </c>
      <c r="G92" s="75"/>
      <c r="H92" s="75"/>
      <c r="I92" s="75"/>
      <c r="J92" s="75"/>
      <c r="K92" s="75"/>
      <c r="L92" s="163">
        <f t="shared" si="24"/>
        <v>-332040</v>
      </c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>
        <f t="shared" si="20"/>
        <v>0</v>
      </c>
      <c r="AY92" s="75"/>
      <c r="AZ92" s="75">
        <v>0</v>
      </c>
      <c r="BA92" s="75"/>
      <c r="BB92" s="83">
        <f t="shared" si="21"/>
        <v>-332040</v>
      </c>
      <c r="BD92" s="124">
        <f t="shared" si="22"/>
        <v>0</v>
      </c>
      <c r="BE92" s="124">
        <f t="shared" si="23"/>
        <v>0</v>
      </c>
      <c r="BL92" s="75"/>
      <c r="BM92" s="75"/>
      <c r="BN92" s="75"/>
      <c r="BQ92" s="8"/>
    </row>
    <row r="93" spans="1:72" hidden="1" x14ac:dyDescent="0.25">
      <c r="A93" s="6">
        <v>40246</v>
      </c>
      <c r="B93" s="35" t="s">
        <v>117</v>
      </c>
      <c r="C93" s="75"/>
      <c r="D93" s="75"/>
      <c r="E93" s="75"/>
      <c r="F93" s="75">
        <v>0</v>
      </c>
      <c r="G93" s="75"/>
      <c r="H93" s="75"/>
      <c r="I93" s="75"/>
      <c r="J93" s="75"/>
      <c r="K93" s="75"/>
      <c r="L93" s="75">
        <f t="shared" si="24"/>
        <v>0</v>
      </c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>
        <f t="shared" si="20"/>
        <v>0</v>
      </c>
      <c r="AY93" s="75"/>
      <c r="AZ93" s="75"/>
      <c r="BA93" s="75"/>
      <c r="BB93" s="83">
        <f t="shared" si="21"/>
        <v>0</v>
      </c>
      <c r="BD93" s="124">
        <f t="shared" si="22"/>
        <v>0</v>
      </c>
      <c r="BE93" s="124">
        <f t="shared" si="23"/>
        <v>0</v>
      </c>
      <c r="BL93" s="75"/>
      <c r="BM93" s="75"/>
      <c r="BN93" s="75"/>
      <c r="BQ93" s="8"/>
    </row>
    <row r="94" spans="1:72" hidden="1" x14ac:dyDescent="0.25">
      <c r="A94" s="6">
        <v>40247</v>
      </c>
      <c r="B94" s="35" t="s">
        <v>118</v>
      </c>
      <c r="C94" s="75"/>
      <c r="D94" s="75"/>
      <c r="E94" s="75"/>
      <c r="F94" s="75">
        <v>0</v>
      </c>
      <c r="G94" s="75"/>
      <c r="H94" s="75"/>
      <c r="I94" s="75"/>
      <c r="J94" s="75"/>
      <c r="K94" s="75"/>
      <c r="L94" s="75">
        <f t="shared" si="24"/>
        <v>0</v>
      </c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>
        <f t="shared" si="20"/>
        <v>0</v>
      </c>
      <c r="AY94" s="75"/>
      <c r="AZ94" s="75"/>
      <c r="BA94" s="75"/>
      <c r="BB94" s="83">
        <f t="shared" si="21"/>
        <v>0</v>
      </c>
      <c r="BD94" s="124">
        <f t="shared" si="22"/>
        <v>0</v>
      </c>
      <c r="BE94" s="124">
        <f t="shared" si="23"/>
        <v>0</v>
      </c>
      <c r="BL94" s="75"/>
      <c r="BM94" s="75"/>
      <c r="BN94" s="75"/>
      <c r="BQ94" s="8"/>
    </row>
    <row r="95" spans="1:72" hidden="1" x14ac:dyDescent="0.25">
      <c r="B95" s="3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83"/>
      <c r="BD95" s="124">
        <f t="shared" si="22"/>
        <v>0</v>
      </c>
      <c r="BE95" s="124">
        <f t="shared" si="23"/>
        <v>0</v>
      </c>
      <c r="BL95" s="75"/>
      <c r="BM95" s="75"/>
      <c r="BN95" s="75"/>
      <c r="BQ95" s="8"/>
    </row>
    <row r="96" spans="1:72" x14ac:dyDescent="0.25">
      <c r="A96" s="6">
        <v>40300</v>
      </c>
      <c r="B96" s="35" t="s">
        <v>119</v>
      </c>
      <c r="C96" s="75"/>
      <c r="D96" s="75"/>
      <c r="E96" s="75"/>
      <c r="F96" s="75">
        <v>26624124</v>
      </c>
      <c r="G96" s="75"/>
      <c r="H96" s="75"/>
      <c r="I96" s="75"/>
      <c r="J96" s="75"/>
      <c r="K96" s="75"/>
      <c r="L96" s="163">
        <f t="shared" si="24"/>
        <v>26624124</v>
      </c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>
        <f>SUM(N96:AV96)</f>
        <v>0</v>
      </c>
      <c r="AY96" s="75"/>
      <c r="AZ96" s="75">
        <v>0</v>
      </c>
      <c r="BA96" s="75"/>
      <c r="BB96" s="83">
        <f>L96+AX96+AZ96</f>
        <v>26624124</v>
      </c>
      <c r="BD96" s="124">
        <f t="shared" si="22"/>
        <v>0</v>
      </c>
      <c r="BE96" s="124">
        <f t="shared" si="23"/>
        <v>0</v>
      </c>
      <c r="BL96" s="75"/>
      <c r="BM96" s="75"/>
      <c r="BN96" s="75"/>
      <c r="BQ96" s="8"/>
    </row>
    <row r="97" spans="1:72" hidden="1" x14ac:dyDescent="0.25">
      <c r="B97" s="3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83"/>
      <c r="BD97" s="124">
        <f t="shared" si="22"/>
        <v>0</v>
      </c>
      <c r="BE97" s="124">
        <f t="shared" si="23"/>
        <v>0</v>
      </c>
      <c r="BL97" s="75"/>
      <c r="BM97" s="75"/>
      <c r="BN97" s="75"/>
      <c r="BQ97" s="8"/>
      <c r="BT97" s="38"/>
    </row>
    <row r="98" spans="1:72" x14ac:dyDescent="0.25">
      <c r="A98" s="6">
        <v>40400</v>
      </c>
      <c r="B98" s="35" t="s">
        <v>120</v>
      </c>
      <c r="C98" s="75"/>
      <c r="D98" s="75"/>
      <c r="E98" s="75"/>
      <c r="F98" s="75">
        <v>15585520</v>
      </c>
      <c r="G98" s="75"/>
      <c r="H98" s="75"/>
      <c r="I98" s="75"/>
      <c r="J98" s="75"/>
      <c r="K98" s="75"/>
      <c r="L98" s="163">
        <f t="shared" si="24"/>
        <v>15585520</v>
      </c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>
        <f>SUM(N98:AV98)</f>
        <v>0</v>
      </c>
      <c r="AY98" s="75"/>
      <c r="AZ98" s="75">
        <v>0</v>
      </c>
      <c r="BA98" s="75"/>
      <c r="BB98" s="83">
        <v>16506873</v>
      </c>
      <c r="BD98" s="124">
        <f t="shared" si="22"/>
        <v>0</v>
      </c>
      <c r="BE98" s="124">
        <f t="shared" si="23"/>
        <v>0</v>
      </c>
      <c r="BG98" s="44"/>
      <c r="BH98" s="44"/>
      <c r="BI98" s="44"/>
      <c r="BL98" s="75"/>
      <c r="BM98" s="75"/>
      <c r="BN98" s="75"/>
      <c r="BQ98" s="8"/>
    </row>
    <row r="99" spans="1:72" x14ac:dyDescent="0.25">
      <c r="A99" s="6">
        <v>40410</v>
      </c>
      <c r="B99" s="35" t="s">
        <v>121</v>
      </c>
      <c r="C99" s="75"/>
      <c r="D99" s="75"/>
      <c r="E99" s="75"/>
      <c r="F99" s="83">
        <v>6094359</v>
      </c>
      <c r="G99" s="75"/>
      <c r="H99" s="75"/>
      <c r="I99" s="75"/>
      <c r="J99" s="75"/>
      <c r="K99" s="75"/>
      <c r="L99" s="163">
        <f t="shared" si="24"/>
        <v>6094359</v>
      </c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>
        <f>SUM(N99:AV99)</f>
        <v>0</v>
      </c>
      <c r="AY99" s="75"/>
      <c r="AZ99" s="75">
        <v>0</v>
      </c>
      <c r="BA99" s="75"/>
      <c r="BB99" s="83">
        <f>L99+AX99+AZ99</f>
        <v>6094359</v>
      </c>
      <c r="BD99" s="124">
        <f t="shared" si="22"/>
        <v>0</v>
      </c>
      <c r="BE99" s="124">
        <f t="shared" si="23"/>
        <v>0</v>
      </c>
      <c r="BG99" s="13"/>
      <c r="BH99" s="13"/>
      <c r="BI99" s="13"/>
      <c r="BL99" s="75"/>
      <c r="BM99" s="75"/>
      <c r="BN99" s="75"/>
      <c r="BQ99" s="8"/>
    </row>
    <row r="100" spans="1:72" x14ac:dyDescent="0.25">
      <c r="A100" s="6">
        <v>40413</v>
      </c>
      <c r="B100" s="35" t="s">
        <v>122</v>
      </c>
      <c r="C100" s="75"/>
      <c r="D100" s="75"/>
      <c r="E100" s="75"/>
      <c r="F100" s="75">
        <v>0</v>
      </c>
      <c r="G100" s="75"/>
      <c r="H100" s="75"/>
      <c r="I100" s="75"/>
      <c r="J100" s="75"/>
      <c r="K100" s="75"/>
      <c r="L100" s="75">
        <f t="shared" si="24"/>
        <v>0</v>
      </c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>
        <f>SUM(N100:AV100)</f>
        <v>0</v>
      </c>
      <c r="AY100" s="75"/>
      <c r="AZ100" s="75">
        <v>0</v>
      </c>
      <c r="BA100" s="75"/>
      <c r="BB100" s="83">
        <f>L100+AX100+AZ100</f>
        <v>0</v>
      </c>
      <c r="BD100" s="124">
        <f t="shared" si="22"/>
        <v>0</v>
      </c>
      <c r="BE100" s="124">
        <f t="shared" si="23"/>
        <v>0</v>
      </c>
      <c r="BL100" s="75"/>
      <c r="BM100" s="75"/>
      <c r="BN100" s="75"/>
      <c r="BQ100" s="8"/>
    </row>
    <row r="101" spans="1:72" x14ac:dyDescent="0.25">
      <c r="A101" s="39">
        <v>40414</v>
      </c>
      <c r="B101" s="122" t="s">
        <v>123</v>
      </c>
      <c r="C101" s="84"/>
      <c r="D101" s="84"/>
      <c r="E101" s="84"/>
      <c r="F101" s="84">
        <v>0</v>
      </c>
      <c r="G101" s="84"/>
      <c r="H101" s="84"/>
      <c r="I101" s="84"/>
      <c r="J101" s="84"/>
      <c r="K101" s="84"/>
      <c r="L101" s="84">
        <f t="shared" si="24"/>
        <v>0</v>
      </c>
      <c r="M101" s="75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>
        <f>SUM(N101:AV101)</f>
        <v>0</v>
      </c>
      <c r="AY101" s="75"/>
      <c r="AZ101" s="84">
        <v>0</v>
      </c>
      <c r="BA101" s="75"/>
      <c r="BB101" s="88">
        <f>L101+AX101+AZ101</f>
        <v>0</v>
      </c>
      <c r="BD101" s="125">
        <f t="shared" si="22"/>
        <v>0</v>
      </c>
      <c r="BE101" s="125">
        <f t="shared" si="23"/>
        <v>0</v>
      </c>
      <c r="BL101" s="84"/>
      <c r="BM101" s="84"/>
      <c r="BN101" s="154"/>
      <c r="BQ101" s="8"/>
    </row>
    <row r="102" spans="1:72" s="13" customFormat="1" x14ac:dyDescent="0.25">
      <c r="A102" s="10"/>
      <c r="B102" s="45" t="s">
        <v>124</v>
      </c>
      <c r="C102" s="76">
        <f t="shared" ref="C102:L102" si="25">SUM(C85:C101)</f>
        <v>0</v>
      </c>
      <c r="D102" s="76">
        <f t="shared" si="25"/>
        <v>0</v>
      </c>
      <c r="E102" s="76">
        <f t="shared" si="25"/>
        <v>0</v>
      </c>
      <c r="F102" s="76">
        <f t="shared" si="25"/>
        <v>47562923</v>
      </c>
      <c r="G102" s="76">
        <f t="shared" si="25"/>
        <v>0</v>
      </c>
      <c r="H102" s="76">
        <f t="shared" si="25"/>
        <v>0</v>
      </c>
      <c r="I102" s="76">
        <f t="shared" si="25"/>
        <v>0</v>
      </c>
      <c r="J102" s="76">
        <f t="shared" si="25"/>
        <v>0</v>
      </c>
      <c r="K102" s="76">
        <f>SUM(K85:K101)</f>
        <v>0</v>
      </c>
      <c r="L102" s="76">
        <f t="shared" si="25"/>
        <v>47562923</v>
      </c>
      <c r="M102" s="89"/>
      <c r="N102" s="76">
        <f t="shared" ref="N102:V102" si="26">SUM(N85:N88,N96:N101)-N90-N92</f>
        <v>0</v>
      </c>
      <c r="O102" s="76">
        <f t="shared" si="26"/>
        <v>0</v>
      </c>
      <c r="P102" s="76">
        <f t="shared" si="26"/>
        <v>0</v>
      </c>
      <c r="Q102" s="76">
        <f t="shared" si="26"/>
        <v>0</v>
      </c>
      <c r="R102" s="76">
        <f t="shared" si="26"/>
        <v>0</v>
      </c>
      <c r="S102" s="76">
        <f t="shared" si="26"/>
        <v>0</v>
      </c>
      <c r="T102" s="76">
        <f t="shared" si="26"/>
        <v>0</v>
      </c>
      <c r="U102" s="76">
        <f t="shared" si="26"/>
        <v>0</v>
      </c>
      <c r="V102" s="76">
        <f t="shared" si="26"/>
        <v>0</v>
      </c>
      <c r="W102" s="76"/>
      <c r="X102" s="76">
        <f t="shared" ref="X102:AC102" si="27">SUM(X85:X88,X96:X101)-X90-X92</f>
        <v>0</v>
      </c>
      <c r="Y102" s="76">
        <f t="shared" si="27"/>
        <v>0</v>
      </c>
      <c r="Z102" s="76">
        <f t="shared" si="27"/>
        <v>0</v>
      </c>
      <c r="AA102" s="76">
        <f t="shared" si="27"/>
        <v>0</v>
      </c>
      <c r="AB102" s="76">
        <f t="shared" si="27"/>
        <v>0</v>
      </c>
      <c r="AC102" s="76">
        <f t="shared" si="27"/>
        <v>0</v>
      </c>
      <c r="AD102" s="76"/>
      <c r="AE102" s="76"/>
      <c r="AF102" s="76">
        <f>SUM(AF85:AF88,AF96:AF101)-AF90-AF92</f>
        <v>0</v>
      </c>
      <c r="AG102" s="76">
        <f>SUM(AG85:AG88,AG96:AG101)-AG90-AG92</f>
        <v>0</v>
      </c>
      <c r="AH102" s="76">
        <f>SUM(AH85:AH88,AH96:AH101)-AH90-AH92</f>
        <v>0</v>
      </c>
      <c r="AI102" s="76"/>
      <c r="AJ102" s="76">
        <f t="shared" ref="AJ102:AO102" si="28">SUM(AJ85:AJ88,AJ96:AJ101)-AJ90-AJ92</f>
        <v>0</v>
      </c>
      <c r="AK102" s="76">
        <f t="shared" si="28"/>
        <v>0</v>
      </c>
      <c r="AL102" s="76">
        <f t="shared" si="28"/>
        <v>0</v>
      </c>
      <c r="AM102" s="76">
        <f t="shared" si="28"/>
        <v>0</v>
      </c>
      <c r="AN102" s="76">
        <f t="shared" si="28"/>
        <v>0</v>
      </c>
      <c r="AO102" s="76">
        <f t="shared" si="28"/>
        <v>0</v>
      </c>
      <c r="AP102" s="76">
        <f t="shared" ref="AP102:AX102" si="29">SUM(AP85:AP88,AP96:AP101)-AP90-AP92</f>
        <v>0</v>
      </c>
      <c r="AQ102" s="76">
        <f t="shared" si="29"/>
        <v>0</v>
      </c>
      <c r="AR102" s="76">
        <f t="shared" si="29"/>
        <v>0</v>
      </c>
      <c r="AS102" s="76">
        <f t="shared" si="29"/>
        <v>0</v>
      </c>
      <c r="AT102" s="76">
        <f t="shared" si="29"/>
        <v>0</v>
      </c>
      <c r="AU102" s="76">
        <f t="shared" si="29"/>
        <v>0</v>
      </c>
      <c r="AV102" s="76">
        <f t="shared" si="29"/>
        <v>0</v>
      </c>
      <c r="AW102" s="76">
        <f t="shared" si="29"/>
        <v>0</v>
      </c>
      <c r="AX102" s="76">
        <f t="shared" si="29"/>
        <v>0</v>
      </c>
      <c r="AY102" s="89"/>
      <c r="AZ102" s="76">
        <f>SUM(AZ85:AZ88,AZ96:AZ101)-AZ90-AZ92</f>
        <v>0</v>
      </c>
      <c r="BA102" s="89"/>
      <c r="BB102" s="76">
        <f>SUM(BB85:BB101)</f>
        <v>48484276</v>
      </c>
      <c r="BC102" s="12"/>
      <c r="BD102" s="11">
        <f>SUM(BD85:BD88,BD96:BD101)-BD90-BD92</f>
        <v>0</v>
      </c>
      <c r="BE102" s="11">
        <f>SUM(BE85:BE88,BE96:BE101)-BE90-BE92</f>
        <v>0</v>
      </c>
      <c r="BF102" s="12"/>
      <c r="BG102" s="5"/>
      <c r="BH102" s="5"/>
      <c r="BI102" s="5"/>
      <c r="BJ102" s="5"/>
      <c r="BK102" s="5"/>
      <c r="BL102" s="76"/>
      <c r="BM102" s="76"/>
      <c r="BN102" s="76"/>
      <c r="BO102" s="143"/>
      <c r="BP102" s="143"/>
      <c r="BQ102" s="8"/>
      <c r="BR102" s="5"/>
      <c r="BS102" s="5"/>
      <c r="BT102" s="5"/>
    </row>
    <row r="103" spans="1:72" ht="15" customHeight="1" x14ac:dyDescent="0.25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83"/>
      <c r="BL103" s="75"/>
      <c r="BM103" s="75"/>
      <c r="BN103" s="75"/>
      <c r="BQ103" s="8"/>
      <c r="BS103" s="38"/>
    </row>
    <row r="104" spans="1:72" x14ac:dyDescent="0.25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107" t="s">
        <v>125</v>
      </c>
      <c r="BA104" s="75"/>
      <c r="BB104" s="83">
        <f>BB5-BB81+BB102</f>
        <v>9538535</v>
      </c>
      <c r="BL104" s="75"/>
      <c r="BM104" s="75"/>
      <c r="BN104" s="75"/>
      <c r="BQ104" s="8"/>
    </row>
    <row r="105" spans="1:72" hidden="1" x14ac:dyDescent="0.25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107" t="s">
        <v>126</v>
      </c>
      <c r="BA105" s="75"/>
      <c r="BB105" s="83">
        <f>BB5-BB82+BB102</f>
        <v>20027910</v>
      </c>
      <c r="BL105" s="75"/>
      <c r="BM105" s="75"/>
      <c r="BN105" s="75"/>
      <c r="BQ105" s="8"/>
      <c r="BR105" s="38"/>
    </row>
    <row r="106" spans="1:72" x14ac:dyDescent="0.25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BD106" s="330" t="s">
        <v>127</v>
      </c>
      <c r="BE106" s="330"/>
      <c r="BL106" s="75"/>
      <c r="BM106" s="75"/>
      <c r="BN106" s="75"/>
      <c r="BQ106" s="8"/>
    </row>
    <row r="107" spans="1:72" ht="68.7" customHeight="1" x14ac:dyDescent="0.25">
      <c r="C107" s="108" t="str">
        <f t="shared" ref="C107:AZ107" si="30">C1</f>
        <v>FY20
100
CEO</v>
      </c>
      <c r="D107" s="108" t="str">
        <f t="shared" si="30"/>
        <v>FY20
105
Administration</v>
      </c>
      <c r="E107" s="108" t="str">
        <f t="shared" si="30"/>
        <v>FY20
110
Board</v>
      </c>
      <c r="F107" s="108" t="str">
        <f t="shared" si="30"/>
        <v>FY20
120
Finance</v>
      </c>
      <c r="G107" s="108" t="str">
        <f t="shared" si="30"/>
        <v>FY20
130
Planning</v>
      </c>
      <c r="H107" s="108" t="str">
        <f t="shared" si="30"/>
        <v>FY20
140
C&amp;M</v>
      </c>
      <c r="I107" s="108" t="str">
        <f t="shared" si="30"/>
        <v>FY20
150
Transit Management</v>
      </c>
      <c r="J107" s="108" t="str">
        <f t="shared" si="30"/>
        <v>FY20
170
Human Resources</v>
      </c>
      <c r="K107" s="108" t="str">
        <f t="shared" si="30"/>
        <v>FY20
180
Information Technology</v>
      </c>
      <c r="L107" s="108" t="str">
        <f t="shared" si="30"/>
        <v>TOTAL
FY20
G&amp;A</v>
      </c>
      <c r="M107" s="108"/>
      <c r="N107" s="108" t="str">
        <f t="shared" si="30"/>
        <v>FY20
200
UNT</v>
      </c>
      <c r="O107" s="108" t="str">
        <f t="shared" si="30"/>
        <v>FY20
701
NTMC UNT</v>
      </c>
      <c r="P107" s="108" t="str">
        <f t="shared" si="30"/>
        <v>FY20
210
NCTC</v>
      </c>
      <c r="Q107" s="108" t="str">
        <f t="shared" si="30"/>
        <v>FY20
702
NTMC NCTC</v>
      </c>
      <c r="R107" s="108" t="str">
        <f t="shared" si="30"/>
        <v>FY20
220
Frisco</v>
      </c>
      <c r="S107" s="108" t="str">
        <f t="shared" si="30"/>
        <v>FY20
703
NTMC Frisco</v>
      </c>
      <c r="T107" s="108" t="str">
        <f t="shared" si="30"/>
        <v>FY20
230
CCT</v>
      </c>
      <c r="U107" s="108" t="str">
        <f t="shared" si="30"/>
        <v>FY20
704
NTMC CCT</v>
      </c>
      <c r="V107" s="108" t="str">
        <f t="shared" si="30"/>
        <v>FY20
240
MaaS</v>
      </c>
      <c r="W107" s="108" t="str">
        <f>W1</f>
        <v>FY20
705
NTMC MaaS</v>
      </c>
      <c r="X107" s="108" t="str">
        <f t="shared" si="30"/>
        <v>FY20
500
Bus Service 
Admin</v>
      </c>
      <c r="Y107" s="108" t="str">
        <f t="shared" si="30"/>
        <v>FY20
700
NTMC Bus Service 
Admin</v>
      </c>
      <c r="Z107" s="108" t="str">
        <f t="shared" si="30"/>
        <v>FY20
505
Bus Ops 
Mgmt</v>
      </c>
      <c r="AA107" s="108" t="str">
        <f t="shared" si="30"/>
        <v>FY20
510
Fixed 
Route</v>
      </c>
      <c r="AB107" s="108" t="str">
        <f t="shared" si="30"/>
        <v>FY20
511
Denton
Fixed Route</v>
      </c>
      <c r="AC107" s="108" t="str">
        <f t="shared" si="30"/>
        <v>FY20
711
NTMC Denton
Fixed Route</v>
      </c>
      <c r="AD107" s="108" t="str">
        <f t="shared" si="30"/>
        <v>FY20
512
Highland Village
Fixed Route</v>
      </c>
      <c r="AE107" s="108" t="str">
        <f t="shared" si="30"/>
        <v>FY20
712
NTMC Highland Village
Fixed Route</v>
      </c>
      <c r="AF107" s="108" t="str">
        <f t="shared" si="30"/>
        <v>FY20
513
Lewisville
Fixed Route</v>
      </c>
      <c r="AG107" s="108" t="str">
        <f t="shared" si="30"/>
        <v>FY20
713
NTMC Lewisville
Fixed Route</v>
      </c>
      <c r="AH107" s="108" t="str">
        <f t="shared" si="30"/>
        <v>FY20
530
Demand Response</v>
      </c>
      <c r="AI107" s="108" t="str">
        <f t="shared" si="30"/>
        <v>FY20
730
NTMC Demand Response</v>
      </c>
      <c r="AJ107" s="108" t="str">
        <f t="shared" si="30"/>
        <v>FY20
531
Denton
Demand Response</v>
      </c>
      <c r="AK107" s="108" t="str">
        <f t="shared" si="30"/>
        <v>FY20
731
NTMC Denton
Demand Response</v>
      </c>
      <c r="AL107" s="108" t="str">
        <f t="shared" si="30"/>
        <v>FY20
532
HV
Demand Response</v>
      </c>
      <c r="AM107" s="108" t="str">
        <f t="shared" si="30"/>
        <v>FY20
732
NTMC HV
Demand Response</v>
      </c>
      <c r="AN107" s="108" t="str">
        <f t="shared" si="30"/>
        <v>FY20
533
Lewisville
Demand Response</v>
      </c>
      <c r="AO107" s="108" t="str">
        <f t="shared" si="30"/>
        <v>FY20
733
NTMC Lewisville
Demand Response</v>
      </c>
      <c r="AP107" s="108" t="str">
        <f t="shared" si="30"/>
        <v>FY20
540
NTX</v>
      </c>
      <c r="AQ107" s="108" t="str">
        <f t="shared" si="30"/>
        <v>FY20
740
NTMC NTX</v>
      </c>
      <c r="AR107" s="108" t="str">
        <f t="shared" si="30"/>
        <v>FY20
570
Customer Service</v>
      </c>
      <c r="AS107" s="108" t="str">
        <f t="shared" si="30"/>
        <v>FY20
770
NTMC Customer Service</v>
      </c>
      <c r="AT107" s="108" t="str">
        <f t="shared" si="30"/>
        <v>FY20
580
S&amp;D</v>
      </c>
      <c r="AU107" s="108" t="str">
        <f t="shared" si="30"/>
        <v>FY20
780
NTMC S&amp;D</v>
      </c>
      <c r="AV107" s="108" t="str">
        <f t="shared" si="30"/>
        <v>FY20
590
Maintenance</v>
      </c>
      <c r="AW107" s="108" t="str">
        <f t="shared" si="30"/>
        <v>FY20
790
NTMC Maintenance</v>
      </c>
      <c r="AX107" s="108" t="str">
        <f t="shared" si="30"/>
        <v>TOTAL
FY20
Bus
Services
(DCTA + NTMC)</v>
      </c>
      <c r="AY107" s="108"/>
      <c r="AZ107" s="108" t="str">
        <f t="shared" si="30"/>
        <v>TOTAL 
FY20
Rail 
Services</v>
      </c>
      <c r="BA107" s="108"/>
      <c r="BB107" s="108" t="s">
        <v>192</v>
      </c>
      <c r="BC107" s="46"/>
      <c r="BD107" s="127" t="s">
        <v>348</v>
      </c>
      <c r="BE107" s="127" t="s">
        <v>362</v>
      </c>
      <c r="BF107" s="46"/>
      <c r="BG107" s="47" t="s">
        <v>363</v>
      </c>
      <c r="BH107" s="108" t="s">
        <v>364</v>
      </c>
      <c r="BI107" s="108" t="s">
        <v>365</v>
      </c>
      <c r="BJ107" s="60" t="s">
        <v>191</v>
      </c>
      <c r="BK107" s="140" t="s">
        <v>193</v>
      </c>
      <c r="BL107" s="108"/>
      <c r="BM107" s="108" t="s">
        <v>366</v>
      </c>
      <c r="BN107" s="108"/>
      <c r="BO107" s="150" t="s">
        <v>367</v>
      </c>
      <c r="BP107" s="150" t="s">
        <v>368</v>
      </c>
      <c r="BQ107" s="8"/>
    </row>
    <row r="108" spans="1:72" x14ac:dyDescent="0.25">
      <c r="B108" s="35" t="s">
        <v>129</v>
      </c>
      <c r="C108" s="75">
        <f t="shared" ref="C108:P108" si="31">SUM(C8:C21)</f>
        <v>350472</v>
      </c>
      <c r="D108" s="75">
        <f>SUM(D8:D21)</f>
        <v>138318</v>
      </c>
      <c r="E108" s="75">
        <f t="shared" si="31"/>
        <v>0</v>
      </c>
      <c r="F108" s="75">
        <f t="shared" si="31"/>
        <v>1283604</v>
      </c>
      <c r="G108" s="75">
        <f t="shared" si="31"/>
        <v>483189</v>
      </c>
      <c r="H108" s="75">
        <f t="shared" si="31"/>
        <v>347934</v>
      </c>
      <c r="I108" s="75">
        <f t="shared" si="31"/>
        <v>509412</v>
      </c>
      <c r="J108" s="75">
        <f t="shared" si="31"/>
        <v>133167</v>
      </c>
      <c r="K108" s="75">
        <f>SUM(K8:K21)</f>
        <v>285576</v>
      </c>
      <c r="L108" s="75">
        <f t="shared" si="31"/>
        <v>3531672</v>
      </c>
      <c r="M108" s="75"/>
      <c r="N108" s="75">
        <f t="shared" si="31"/>
        <v>0</v>
      </c>
      <c r="O108" s="75">
        <f>SUM(O8:O21)</f>
        <v>1232875</v>
      </c>
      <c r="P108" s="75">
        <f t="shared" si="31"/>
        <v>0</v>
      </c>
      <c r="Q108" s="75">
        <f t="shared" ref="Q108:AZ108" si="32">SUM(Q8:Q21)</f>
        <v>0</v>
      </c>
      <c r="R108" s="75">
        <f t="shared" si="32"/>
        <v>0</v>
      </c>
      <c r="S108" s="75">
        <f t="shared" si="32"/>
        <v>128344</v>
      </c>
      <c r="T108" s="75">
        <f t="shared" si="32"/>
        <v>0</v>
      </c>
      <c r="U108" s="75">
        <f t="shared" si="32"/>
        <v>15434</v>
      </c>
      <c r="V108" s="75">
        <f t="shared" si="32"/>
        <v>0</v>
      </c>
      <c r="W108" s="75">
        <f>SUM(W8:W21)</f>
        <v>0</v>
      </c>
      <c r="X108" s="75">
        <f t="shared" si="32"/>
        <v>0</v>
      </c>
      <c r="Y108" s="75">
        <f t="shared" si="32"/>
        <v>277590</v>
      </c>
      <c r="Z108" s="75">
        <f t="shared" si="32"/>
        <v>373110</v>
      </c>
      <c r="AA108" s="75">
        <f t="shared" si="32"/>
        <v>0</v>
      </c>
      <c r="AB108" s="75">
        <f t="shared" si="32"/>
        <v>0</v>
      </c>
      <c r="AC108" s="75">
        <f t="shared" si="32"/>
        <v>1362137</v>
      </c>
      <c r="AD108" s="75">
        <f t="shared" si="32"/>
        <v>0</v>
      </c>
      <c r="AE108" s="75">
        <f t="shared" si="32"/>
        <v>0</v>
      </c>
      <c r="AF108" s="75">
        <f t="shared" si="32"/>
        <v>0</v>
      </c>
      <c r="AG108" s="75">
        <f t="shared" si="32"/>
        <v>871070</v>
      </c>
      <c r="AH108" s="75">
        <f t="shared" si="32"/>
        <v>0</v>
      </c>
      <c r="AI108" s="75">
        <f t="shared" si="32"/>
        <v>0</v>
      </c>
      <c r="AJ108" s="75">
        <f t="shared" si="32"/>
        <v>0</v>
      </c>
      <c r="AK108" s="75">
        <f t="shared" si="32"/>
        <v>294366</v>
      </c>
      <c r="AL108" s="75">
        <f t="shared" si="32"/>
        <v>0</v>
      </c>
      <c r="AM108" s="75">
        <f t="shared" si="32"/>
        <v>32789</v>
      </c>
      <c r="AN108" s="75">
        <f t="shared" si="32"/>
        <v>0</v>
      </c>
      <c r="AO108" s="75">
        <f t="shared" si="32"/>
        <v>290347</v>
      </c>
      <c r="AP108" s="75">
        <f t="shared" si="32"/>
        <v>0</v>
      </c>
      <c r="AQ108" s="75">
        <f t="shared" si="32"/>
        <v>131653</v>
      </c>
      <c r="AR108" s="75">
        <f t="shared" si="32"/>
        <v>0</v>
      </c>
      <c r="AS108" s="75">
        <f t="shared" si="32"/>
        <v>575502</v>
      </c>
      <c r="AT108" s="75">
        <f t="shared" si="32"/>
        <v>0</v>
      </c>
      <c r="AU108" s="75">
        <f t="shared" si="32"/>
        <v>1006831</v>
      </c>
      <c r="AV108" s="75">
        <f t="shared" si="32"/>
        <v>0</v>
      </c>
      <c r="AW108" s="75">
        <f t="shared" si="32"/>
        <v>1232376</v>
      </c>
      <c r="AX108" s="75">
        <f t="shared" si="32"/>
        <v>7824424</v>
      </c>
      <c r="AY108" s="75"/>
      <c r="AZ108" s="75">
        <f t="shared" si="32"/>
        <v>288429</v>
      </c>
      <c r="BA108" s="75"/>
      <c r="BB108" s="75">
        <f t="shared" ref="BB108:BB116" si="33">L108+AX108+AZ108</f>
        <v>11644525</v>
      </c>
      <c r="BC108" s="7"/>
      <c r="BD108" s="128">
        <f t="shared" ref="BD108:BD117" si="34">AW108+AU108+AS108+AQ108+AO108+AM108+AK108+AI108+AG108+AE108+AC108+Y108+U108+S108+Q108+O108</f>
        <v>7451314</v>
      </c>
      <c r="BE108" s="128">
        <f>AX108-BD108</f>
        <v>373110</v>
      </c>
      <c r="BF108" s="7"/>
      <c r="BG108" s="48">
        <f>L108+AZ108+BE108</f>
        <v>4193211</v>
      </c>
      <c r="BH108" s="8">
        <f>+P108+R108+T108+V108+X108+Z108+AB108+AF108+AJ108+AL108+AN108+AP108+AR108+AT108+AV108</f>
        <v>373110</v>
      </c>
      <c r="BI108" s="8">
        <f t="shared" ref="BI108:BI116" si="35">+O108+Q108+S108+U108+W108+Y108+AC108+AG108+AK108+AM108+AO108+AQ108+AS108+AU108+AW108</f>
        <v>7451314</v>
      </c>
      <c r="BJ108" s="8">
        <f>BH108+BI108</f>
        <v>7824424</v>
      </c>
      <c r="BK108" s="83">
        <f>L108+AZ108+BH108</f>
        <v>4193211</v>
      </c>
      <c r="BL108" s="75"/>
      <c r="BM108" s="75">
        <f t="shared" ref="BM108:BM116" si="36">+AV108+AT108+AR108+AP108+AN108+AL108+AJ108+AF108+AB108+Z108+X108+V108+T108+R108+P108+N108</f>
        <v>373110</v>
      </c>
      <c r="BN108" s="75"/>
      <c r="BO108" s="159">
        <f t="shared" ref="BO108:BO116" si="37">+AW108+AU108+AS108+AQ108+AO108+AM108+AK108+AG108+AC108+AA108+Y108+W108+U108+S108+Q108+O108</f>
        <v>7451314</v>
      </c>
      <c r="BP108" s="159">
        <f>BM108+AZ108+L108</f>
        <v>4193211</v>
      </c>
      <c r="BQ108" s="8"/>
    </row>
    <row r="109" spans="1:72" x14ac:dyDescent="0.25">
      <c r="B109" s="35" t="s">
        <v>181</v>
      </c>
      <c r="C109" s="75">
        <f t="shared" ref="C109:L109" si="38">SUM(C24:C38)</f>
        <v>408000</v>
      </c>
      <c r="D109" s="75">
        <f t="shared" si="38"/>
        <v>58630</v>
      </c>
      <c r="E109" s="75">
        <f t="shared" si="38"/>
        <v>62985</v>
      </c>
      <c r="F109" s="75">
        <f t="shared" si="38"/>
        <v>422890</v>
      </c>
      <c r="G109" s="75">
        <f t="shared" si="38"/>
        <v>602050</v>
      </c>
      <c r="H109" s="75">
        <f t="shared" si="38"/>
        <v>369260</v>
      </c>
      <c r="I109" s="75">
        <f t="shared" si="38"/>
        <v>41000</v>
      </c>
      <c r="J109" s="75">
        <f t="shared" si="38"/>
        <v>39400</v>
      </c>
      <c r="K109" s="75">
        <f t="shared" si="38"/>
        <v>214400</v>
      </c>
      <c r="L109" s="75">
        <f t="shared" si="38"/>
        <v>2218615</v>
      </c>
      <c r="M109" s="75"/>
      <c r="N109" s="75">
        <f>SUM(N24:N38)</f>
        <v>0</v>
      </c>
      <c r="O109" s="75">
        <f>SUM(O24:O38)</f>
        <v>7383</v>
      </c>
      <c r="P109" s="75">
        <f>SUM(P24:P38)</f>
        <v>0</v>
      </c>
      <c r="Q109" s="75">
        <f>SUM(Q24:Q38)</f>
        <v>0</v>
      </c>
      <c r="R109" s="75">
        <f t="shared" ref="R109:Z109" si="39">SUM(R24:R38)</f>
        <v>0</v>
      </c>
      <c r="S109" s="75">
        <f t="shared" si="39"/>
        <v>1180</v>
      </c>
      <c r="T109" s="75">
        <f t="shared" si="39"/>
        <v>0</v>
      </c>
      <c r="U109" s="75">
        <f t="shared" si="39"/>
        <v>150</v>
      </c>
      <c r="V109" s="75">
        <f t="shared" si="39"/>
        <v>0</v>
      </c>
      <c r="W109" s="75">
        <f>SUM(W24:W38)</f>
        <v>0</v>
      </c>
      <c r="X109" s="75">
        <f t="shared" si="39"/>
        <v>750331</v>
      </c>
      <c r="Y109" s="75">
        <f t="shared" si="39"/>
        <v>357473</v>
      </c>
      <c r="Z109" s="75">
        <f t="shared" si="39"/>
        <v>0</v>
      </c>
      <c r="AA109" s="75">
        <f>SUM(AA24:AA38)</f>
        <v>0</v>
      </c>
      <c r="AB109" s="75">
        <f t="shared" ref="AB109:AG109" si="40">SUM(AB24:AB38)</f>
        <v>38207</v>
      </c>
      <c r="AC109" s="75">
        <f t="shared" si="40"/>
        <v>8659</v>
      </c>
      <c r="AD109" s="75">
        <f t="shared" si="40"/>
        <v>0</v>
      </c>
      <c r="AE109" s="75">
        <f>SUM(AE24:AE38)</f>
        <v>0</v>
      </c>
      <c r="AF109" s="75">
        <f t="shared" si="40"/>
        <v>28073</v>
      </c>
      <c r="AG109" s="75">
        <f t="shared" si="40"/>
        <v>6360</v>
      </c>
      <c r="AH109" s="75">
        <f>SUM(AH24:AH38)</f>
        <v>0</v>
      </c>
      <c r="AI109" s="75">
        <f t="shared" ref="AI109:AO109" si="41">SUM(AI24:AI38)</f>
        <v>0</v>
      </c>
      <c r="AJ109" s="75">
        <f t="shared" si="41"/>
        <v>43012</v>
      </c>
      <c r="AK109" s="75">
        <f t="shared" si="41"/>
        <v>1826</v>
      </c>
      <c r="AL109" s="75">
        <f t="shared" si="41"/>
        <v>6333</v>
      </c>
      <c r="AM109" s="75">
        <f t="shared" si="41"/>
        <v>231</v>
      </c>
      <c r="AN109" s="75">
        <f t="shared" si="41"/>
        <v>29158</v>
      </c>
      <c r="AO109" s="75">
        <f t="shared" si="41"/>
        <v>1246</v>
      </c>
      <c r="AP109" s="75">
        <f>SUM(AP24:AP38)</f>
        <v>8160</v>
      </c>
      <c r="AQ109" s="75">
        <f t="shared" ref="AQ109:AZ109" si="42">SUM(AQ24:AQ38)</f>
        <v>1911</v>
      </c>
      <c r="AR109" s="75">
        <f t="shared" si="42"/>
        <v>98064</v>
      </c>
      <c r="AS109" s="75">
        <f t="shared" si="42"/>
        <v>0</v>
      </c>
      <c r="AT109" s="75">
        <f t="shared" si="42"/>
        <v>0</v>
      </c>
      <c r="AU109" s="75">
        <f t="shared" si="42"/>
        <v>0</v>
      </c>
      <c r="AV109" s="75">
        <f t="shared" si="42"/>
        <v>256980</v>
      </c>
      <c r="AW109" s="75">
        <f t="shared" si="42"/>
        <v>13500</v>
      </c>
      <c r="AX109" s="75">
        <f t="shared" si="42"/>
        <v>1658237</v>
      </c>
      <c r="AY109" s="75"/>
      <c r="AZ109" s="75">
        <f t="shared" si="42"/>
        <v>479026</v>
      </c>
      <c r="BA109" s="75"/>
      <c r="BB109" s="75">
        <f t="shared" si="33"/>
        <v>4355878</v>
      </c>
      <c r="BC109" s="7"/>
      <c r="BD109" s="128">
        <f t="shared" si="34"/>
        <v>399919</v>
      </c>
      <c r="BE109" s="128">
        <f t="shared" ref="BE109:BE116" si="43">AX109-BD109</f>
        <v>1258318</v>
      </c>
      <c r="BF109" s="7"/>
      <c r="BG109" s="48">
        <f t="shared" ref="BG109:BG116" si="44">L109+AZ109+BE109</f>
        <v>3955959</v>
      </c>
      <c r="BH109" s="8">
        <f>+P109+R109+T109+V109+X109+Z109+AB109+AF109+AJ109+AL109+AN109+AP109+AR109+AT109+AV109</f>
        <v>1258318</v>
      </c>
      <c r="BI109" s="8">
        <f t="shared" si="35"/>
        <v>399919</v>
      </c>
      <c r="BJ109" s="8">
        <f t="shared" ref="BJ109:BJ116" si="45">BH109+BI109</f>
        <v>1658237</v>
      </c>
      <c r="BK109" s="83">
        <f t="shared" ref="BK109:BK117" si="46">L109+AZ109+BH109</f>
        <v>3955959</v>
      </c>
      <c r="BL109" s="75"/>
      <c r="BM109" s="75">
        <f t="shared" si="36"/>
        <v>1258318</v>
      </c>
      <c r="BN109" s="75"/>
      <c r="BO109" s="159">
        <f t="shared" si="37"/>
        <v>399919</v>
      </c>
      <c r="BP109" s="159">
        <f t="shared" ref="BP109:BP116" si="47">BM109+AZ109+L109</f>
        <v>3955959</v>
      </c>
      <c r="BQ109" s="8"/>
    </row>
    <row r="110" spans="1:72" x14ac:dyDescent="0.25">
      <c r="B110" s="35" t="s">
        <v>182</v>
      </c>
      <c r="C110" s="75">
        <f t="shared" ref="C110:L110" si="48">SUM(C39:C48)</f>
        <v>0</v>
      </c>
      <c r="D110" s="75">
        <f t="shared" si="48"/>
        <v>18200</v>
      </c>
      <c r="E110" s="75">
        <f t="shared" si="48"/>
        <v>500</v>
      </c>
      <c r="F110" s="75">
        <f t="shared" si="48"/>
        <v>0</v>
      </c>
      <c r="G110" s="75">
        <f t="shared" si="48"/>
        <v>0</v>
      </c>
      <c r="H110" s="75">
        <f t="shared" si="48"/>
        <v>22050</v>
      </c>
      <c r="I110" s="75">
        <f t="shared" si="48"/>
        <v>0</v>
      </c>
      <c r="J110" s="75">
        <f t="shared" si="48"/>
        <v>0</v>
      </c>
      <c r="K110" s="75">
        <f t="shared" si="48"/>
        <v>29300</v>
      </c>
      <c r="L110" s="75">
        <f t="shared" si="48"/>
        <v>70050</v>
      </c>
      <c r="M110" s="75"/>
      <c r="N110" s="75">
        <f>SUM(N39:N48)</f>
        <v>342308</v>
      </c>
      <c r="O110" s="75">
        <f>SUM(O39:O48)</f>
        <v>0</v>
      </c>
      <c r="P110" s="75">
        <f>SUM(P39:P48)</f>
        <v>0</v>
      </c>
      <c r="Q110" s="75">
        <f>SUM(Q39:Q48)</f>
        <v>0</v>
      </c>
      <c r="R110" s="75">
        <f t="shared" ref="R110:Z110" si="49">SUM(R39:R48)</f>
        <v>33084</v>
      </c>
      <c r="S110" s="75">
        <f t="shared" si="49"/>
        <v>0</v>
      </c>
      <c r="T110" s="75">
        <f t="shared" si="49"/>
        <v>3994</v>
      </c>
      <c r="U110" s="75">
        <f t="shared" si="49"/>
        <v>0</v>
      </c>
      <c r="V110" s="75">
        <f t="shared" si="49"/>
        <v>0</v>
      </c>
      <c r="W110" s="75">
        <f>SUM(W39:W48)</f>
        <v>0</v>
      </c>
      <c r="X110" s="75">
        <f t="shared" si="49"/>
        <v>25569</v>
      </c>
      <c r="Y110" s="75">
        <f t="shared" si="49"/>
        <v>3293</v>
      </c>
      <c r="Z110" s="75">
        <f t="shared" si="49"/>
        <v>0</v>
      </c>
      <c r="AA110" s="75">
        <f>SUM(AA39:AA48)</f>
        <v>0</v>
      </c>
      <c r="AB110" s="75">
        <f t="shared" ref="AB110:AG110" si="50">SUM(AB39:AB48)</f>
        <v>303023</v>
      </c>
      <c r="AC110" s="75">
        <f t="shared" si="50"/>
        <v>0</v>
      </c>
      <c r="AD110" s="75">
        <f t="shared" si="50"/>
        <v>0</v>
      </c>
      <c r="AE110" s="75">
        <f t="shared" si="50"/>
        <v>0</v>
      </c>
      <c r="AF110" s="75">
        <f t="shared" si="50"/>
        <v>156428</v>
      </c>
      <c r="AG110" s="75">
        <f t="shared" si="50"/>
        <v>0</v>
      </c>
      <c r="AH110" s="75">
        <f>SUM(AH39:AH48)</f>
        <v>0</v>
      </c>
      <c r="AI110" s="75">
        <f t="shared" ref="AI110:AO110" si="51">SUM(AI39:AI48)</f>
        <v>0</v>
      </c>
      <c r="AJ110" s="75">
        <f t="shared" si="51"/>
        <v>51497</v>
      </c>
      <c r="AK110" s="75">
        <f t="shared" si="51"/>
        <v>0</v>
      </c>
      <c r="AL110" s="75">
        <f t="shared" si="51"/>
        <v>5940</v>
      </c>
      <c r="AM110" s="75">
        <f t="shared" si="51"/>
        <v>0</v>
      </c>
      <c r="AN110" s="75">
        <f t="shared" si="51"/>
        <v>99048</v>
      </c>
      <c r="AO110" s="75">
        <f t="shared" si="51"/>
        <v>0</v>
      </c>
      <c r="AP110" s="75">
        <f>SUM(AP39:AP48)</f>
        <v>46787</v>
      </c>
      <c r="AQ110" s="75">
        <f t="shared" ref="AQ110:AZ110" si="52">SUM(AQ39:AQ48)</f>
        <v>0</v>
      </c>
      <c r="AR110" s="75">
        <f t="shared" si="52"/>
        <v>11400</v>
      </c>
      <c r="AS110" s="75">
        <f t="shared" si="52"/>
        <v>0</v>
      </c>
      <c r="AT110" s="75">
        <f t="shared" si="52"/>
        <v>21600</v>
      </c>
      <c r="AU110" s="75">
        <f t="shared" si="52"/>
        <v>0</v>
      </c>
      <c r="AV110" s="75">
        <f t="shared" si="52"/>
        <v>724707</v>
      </c>
      <c r="AW110" s="75">
        <f t="shared" si="52"/>
        <v>0</v>
      </c>
      <c r="AX110" s="75">
        <f t="shared" si="52"/>
        <v>1828678</v>
      </c>
      <c r="AY110" s="75"/>
      <c r="AZ110" s="75">
        <f t="shared" si="52"/>
        <v>1022300</v>
      </c>
      <c r="BA110" s="75"/>
      <c r="BB110" s="75">
        <f t="shared" si="33"/>
        <v>2921028</v>
      </c>
      <c r="BC110" s="7"/>
      <c r="BD110" s="128">
        <f t="shared" si="34"/>
        <v>3293</v>
      </c>
      <c r="BE110" s="128">
        <f t="shared" si="43"/>
        <v>1825385</v>
      </c>
      <c r="BF110" s="7"/>
      <c r="BG110" s="48">
        <f t="shared" si="44"/>
        <v>2917735</v>
      </c>
      <c r="BH110" s="8">
        <f t="shared" ref="BH110:BH116" si="53">+P110+R110+T110+V110+X110+Z110+AB110+AF110+AJ110+AL110+AN110+AP110+AR110+AT110+AV110+N110</f>
        <v>1825385</v>
      </c>
      <c r="BI110" s="8">
        <f t="shared" si="35"/>
        <v>3293</v>
      </c>
      <c r="BJ110" s="8">
        <f t="shared" si="45"/>
        <v>1828678</v>
      </c>
      <c r="BK110" s="83">
        <f t="shared" si="46"/>
        <v>2917735</v>
      </c>
      <c r="BL110" s="75"/>
      <c r="BM110" s="75">
        <f t="shared" si="36"/>
        <v>1825385</v>
      </c>
      <c r="BN110" s="75"/>
      <c r="BO110" s="159">
        <f t="shared" si="37"/>
        <v>3293</v>
      </c>
      <c r="BP110" s="159">
        <f t="shared" si="47"/>
        <v>2917735</v>
      </c>
      <c r="BQ110" s="8"/>
    </row>
    <row r="111" spans="1:72" x14ac:dyDescent="0.25">
      <c r="B111" s="35" t="s">
        <v>130</v>
      </c>
      <c r="C111" s="75">
        <f t="shared" ref="C111:L111" si="54">SUM(C49:C52)</f>
        <v>0</v>
      </c>
      <c r="D111" s="75">
        <f t="shared" si="54"/>
        <v>23600</v>
      </c>
      <c r="E111" s="75">
        <f t="shared" si="54"/>
        <v>0</v>
      </c>
      <c r="F111" s="75">
        <f t="shared" si="54"/>
        <v>0</v>
      </c>
      <c r="G111" s="75">
        <f t="shared" si="54"/>
        <v>0</v>
      </c>
      <c r="H111" s="75">
        <f t="shared" si="54"/>
        <v>0</v>
      </c>
      <c r="I111" s="75">
        <f t="shared" si="54"/>
        <v>0</v>
      </c>
      <c r="J111" s="75">
        <f t="shared" si="54"/>
        <v>0</v>
      </c>
      <c r="K111" s="75">
        <f t="shared" si="54"/>
        <v>0</v>
      </c>
      <c r="L111" s="75">
        <f t="shared" si="54"/>
        <v>23600</v>
      </c>
      <c r="M111" s="75"/>
      <c r="N111" s="75">
        <f>SUM(N49:N52)</f>
        <v>0</v>
      </c>
      <c r="O111" s="75">
        <f>SUM(O49:O52)</f>
        <v>0</v>
      </c>
      <c r="P111" s="75">
        <f>SUM(P49:P52)</f>
        <v>0</v>
      </c>
      <c r="Q111" s="75">
        <f>SUM(Q49:Q52)</f>
        <v>0</v>
      </c>
      <c r="R111" s="75">
        <f t="shared" ref="R111:Z111" si="55">SUM(R49:R52)</f>
        <v>9794</v>
      </c>
      <c r="S111" s="75">
        <f t="shared" si="55"/>
        <v>0</v>
      </c>
      <c r="T111" s="75">
        <f t="shared" si="55"/>
        <v>1072</v>
      </c>
      <c r="U111" s="75">
        <f t="shared" si="55"/>
        <v>0</v>
      </c>
      <c r="V111" s="75">
        <f t="shared" si="55"/>
        <v>0</v>
      </c>
      <c r="W111" s="75">
        <f>SUM(W49:W52)</f>
        <v>0</v>
      </c>
      <c r="X111" s="75">
        <f t="shared" si="55"/>
        <v>150300</v>
      </c>
      <c r="Y111" s="75">
        <f t="shared" si="55"/>
        <v>0</v>
      </c>
      <c r="Z111" s="75">
        <f t="shared" si="55"/>
        <v>0</v>
      </c>
      <c r="AA111" s="75">
        <f>SUM(AA49:AA52)</f>
        <v>0</v>
      </c>
      <c r="AB111" s="75">
        <f t="shared" ref="AB111:AG111" si="56">SUM(AB49:AB52)</f>
        <v>0</v>
      </c>
      <c r="AC111" s="75">
        <f t="shared" si="56"/>
        <v>0</v>
      </c>
      <c r="AD111" s="75">
        <f t="shared" si="56"/>
        <v>0</v>
      </c>
      <c r="AE111" s="75">
        <f t="shared" si="56"/>
        <v>0</v>
      </c>
      <c r="AF111" s="75">
        <f t="shared" si="56"/>
        <v>0</v>
      </c>
      <c r="AG111" s="75">
        <f t="shared" si="56"/>
        <v>0</v>
      </c>
      <c r="AH111" s="75">
        <f>SUM(AH49:AH52)</f>
        <v>0</v>
      </c>
      <c r="AI111" s="75">
        <f t="shared" ref="AI111:AO111" si="57">SUM(AI49:AI52)</f>
        <v>0</v>
      </c>
      <c r="AJ111" s="75">
        <f t="shared" si="57"/>
        <v>12375</v>
      </c>
      <c r="AK111" s="75">
        <f t="shared" si="57"/>
        <v>0</v>
      </c>
      <c r="AL111" s="75">
        <f t="shared" si="57"/>
        <v>1556</v>
      </c>
      <c r="AM111" s="75">
        <f t="shared" si="57"/>
        <v>0</v>
      </c>
      <c r="AN111" s="75">
        <f t="shared" si="57"/>
        <v>8603</v>
      </c>
      <c r="AO111" s="75">
        <f t="shared" si="57"/>
        <v>0</v>
      </c>
      <c r="AP111" s="75">
        <f>SUM(AP49:AP52)</f>
        <v>0</v>
      </c>
      <c r="AQ111" s="75">
        <f t="shared" ref="AQ111:AZ111" si="58">SUM(AQ49:AQ52)</f>
        <v>0</v>
      </c>
      <c r="AR111" s="75">
        <f t="shared" si="58"/>
        <v>21600</v>
      </c>
      <c r="AS111" s="75">
        <f t="shared" si="58"/>
        <v>0</v>
      </c>
      <c r="AT111" s="75">
        <f t="shared" si="58"/>
        <v>12000</v>
      </c>
      <c r="AU111" s="75">
        <f t="shared" si="58"/>
        <v>0</v>
      </c>
      <c r="AV111" s="75">
        <f t="shared" si="58"/>
        <v>0</v>
      </c>
      <c r="AW111" s="75">
        <f t="shared" si="58"/>
        <v>0</v>
      </c>
      <c r="AX111" s="75">
        <f t="shared" si="58"/>
        <v>217300</v>
      </c>
      <c r="AY111" s="75"/>
      <c r="AZ111" s="75">
        <f t="shared" si="58"/>
        <v>265768</v>
      </c>
      <c r="BA111" s="75"/>
      <c r="BB111" s="75">
        <f t="shared" si="33"/>
        <v>506668</v>
      </c>
      <c r="BC111" s="7"/>
      <c r="BD111" s="128">
        <f t="shared" si="34"/>
        <v>0</v>
      </c>
      <c r="BE111" s="128">
        <f t="shared" si="43"/>
        <v>217300</v>
      </c>
      <c r="BF111" s="7"/>
      <c r="BG111" s="48">
        <f t="shared" si="44"/>
        <v>506668</v>
      </c>
      <c r="BH111" s="8">
        <f t="shared" si="53"/>
        <v>217300</v>
      </c>
      <c r="BI111" s="8">
        <f t="shared" si="35"/>
        <v>0</v>
      </c>
      <c r="BJ111" s="8">
        <f t="shared" si="45"/>
        <v>217300</v>
      </c>
      <c r="BK111" s="83">
        <f t="shared" si="46"/>
        <v>506668</v>
      </c>
      <c r="BL111" s="75"/>
      <c r="BM111" s="75">
        <f t="shared" si="36"/>
        <v>217300</v>
      </c>
      <c r="BN111" s="75"/>
      <c r="BO111" s="159">
        <f t="shared" si="37"/>
        <v>0</v>
      </c>
      <c r="BP111" s="159">
        <f t="shared" si="47"/>
        <v>506668</v>
      </c>
      <c r="BQ111" s="8"/>
    </row>
    <row r="112" spans="1:72" x14ac:dyDescent="0.25">
      <c r="B112" s="35" t="s">
        <v>131</v>
      </c>
      <c r="C112" s="75">
        <f t="shared" ref="C112:L112" si="59">SUM(C53:C60)</f>
        <v>0</v>
      </c>
      <c r="D112" s="75">
        <f t="shared" si="59"/>
        <v>0</v>
      </c>
      <c r="E112" s="75">
        <f t="shared" si="59"/>
        <v>0</v>
      </c>
      <c r="F112" s="75">
        <f t="shared" si="59"/>
        <v>13788</v>
      </c>
      <c r="G112" s="75">
        <f t="shared" si="59"/>
        <v>0</v>
      </c>
      <c r="H112" s="75">
        <f t="shared" si="59"/>
        <v>0</v>
      </c>
      <c r="I112" s="75">
        <f t="shared" si="59"/>
        <v>0</v>
      </c>
      <c r="J112" s="75">
        <f t="shared" si="59"/>
        <v>0</v>
      </c>
      <c r="K112" s="75">
        <f t="shared" si="59"/>
        <v>0</v>
      </c>
      <c r="L112" s="75">
        <f t="shared" si="59"/>
        <v>13788</v>
      </c>
      <c r="M112" s="75"/>
      <c r="N112" s="75">
        <f>SUM(N53:N60)</f>
        <v>85224</v>
      </c>
      <c r="O112" s="75">
        <f>SUM(O53:O60)</f>
        <v>32256</v>
      </c>
      <c r="P112" s="75">
        <f>SUM(P53:P60)</f>
        <v>0</v>
      </c>
      <c r="Q112" s="75">
        <f>SUM(Q53:Q60)</f>
        <v>0</v>
      </c>
      <c r="R112" s="75">
        <f t="shared" ref="R112:Z112" si="60">SUM(R53:R60)</f>
        <v>20148</v>
      </c>
      <c r="S112" s="75">
        <f t="shared" si="60"/>
        <v>3936</v>
      </c>
      <c r="T112" s="75">
        <f t="shared" si="60"/>
        <v>2187</v>
      </c>
      <c r="U112" s="75">
        <f t="shared" si="60"/>
        <v>462</v>
      </c>
      <c r="V112" s="75">
        <f t="shared" si="60"/>
        <v>0</v>
      </c>
      <c r="W112" s="75">
        <f>SUM(W53:W60)</f>
        <v>0</v>
      </c>
      <c r="X112" s="75">
        <f t="shared" si="60"/>
        <v>0</v>
      </c>
      <c r="Y112" s="75">
        <f t="shared" si="60"/>
        <v>336</v>
      </c>
      <c r="Z112" s="75">
        <f t="shared" si="60"/>
        <v>0</v>
      </c>
      <c r="AA112" s="75">
        <f>SUM(AA53:AA60)</f>
        <v>0</v>
      </c>
      <c r="AB112" s="75">
        <f t="shared" ref="AB112:AG112" si="61">SUM(AB53:AB60)</f>
        <v>92832</v>
      </c>
      <c r="AC112" s="75">
        <f t="shared" si="61"/>
        <v>30024</v>
      </c>
      <c r="AD112" s="75">
        <f t="shared" si="61"/>
        <v>0</v>
      </c>
      <c r="AE112" s="75">
        <f t="shared" si="61"/>
        <v>0</v>
      </c>
      <c r="AF112" s="75">
        <f t="shared" si="61"/>
        <v>56340</v>
      </c>
      <c r="AG112" s="75">
        <f t="shared" si="61"/>
        <v>15876</v>
      </c>
      <c r="AH112" s="75">
        <f>SUM(AH53:AH60)</f>
        <v>0</v>
      </c>
      <c r="AI112" s="75">
        <f t="shared" ref="AI112:AO112" si="62">SUM(AI53:AI60)</f>
        <v>0</v>
      </c>
      <c r="AJ112" s="75">
        <f t="shared" si="62"/>
        <v>28140</v>
      </c>
      <c r="AK112" s="75">
        <f t="shared" si="62"/>
        <v>8928</v>
      </c>
      <c r="AL112" s="75">
        <f t="shared" si="62"/>
        <v>3372</v>
      </c>
      <c r="AM112" s="75">
        <f t="shared" si="62"/>
        <v>996</v>
      </c>
      <c r="AN112" s="75">
        <f t="shared" si="62"/>
        <v>16860</v>
      </c>
      <c r="AO112" s="75">
        <f t="shared" si="62"/>
        <v>8808</v>
      </c>
      <c r="AP112" s="75">
        <f>SUM(AP53:AP60)</f>
        <v>0</v>
      </c>
      <c r="AQ112" s="75">
        <f t="shared" ref="AQ112:AZ112" si="63">SUM(AQ53:AQ60)</f>
        <v>3996</v>
      </c>
      <c r="AR112" s="75">
        <f t="shared" si="63"/>
        <v>0</v>
      </c>
      <c r="AS112" s="75">
        <f t="shared" si="63"/>
        <v>492</v>
      </c>
      <c r="AT112" s="75">
        <f t="shared" si="63"/>
        <v>1980</v>
      </c>
      <c r="AU112" s="75">
        <f t="shared" si="63"/>
        <v>588</v>
      </c>
      <c r="AV112" s="75">
        <f t="shared" si="63"/>
        <v>21504</v>
      </c>
      <c r="AW112" s="75">
        <f t="shared" si="63"/>
        <v>12180</v>
      </c>
      <c r="AX112" s="75">
        <f t="shared" si="63"/>
        <v>447465</v>
      </c>
      <c r="AY112" s="75"/>
      <c r="AZ112" s="75">
        <f t="shared" si="63"/>
        <v>1338961</v>
      </c>
      <c r="BA112" s="75"/>
      <c r="BB112" s="75">
        <f t="shared" si="33"/>
        <v>1800214</v>
      </c>
      <c r="BC112" s="7"/>
      <c r="BD112" s="128">
        <f t="shared" si="34"/>
        <v>118878</v>
      </c>
      <c r="BE112" s="128">
        <f t="shared" si="43"/>
        <v>328587</v>
      </c>
      <c r="BF112" s="7"/>
      <c r="BG112" s="48">
        <f t="shared" si="44"/>
        <v>1681336</v>
      </c>
      <c r="BH112" s="8">
        <f t="shared" si="53"/>
        <v>328587</v>
      </c>
      <c r="BI112" s="8">
        <f t="shared" si="35"/>
        <v>118878</v>
      </c>
      <c r="BJ112" s="8">
        <f t="shared" si="45"/>
        <v>447465</v>
      </c>
      <c r="BK112" s="83">
        <f t="shared" si="46"/>
        <v>1681336</v>
      </c>
      <c r="BL112" s="75"/>
      <c r="BM112" s="75">
        <f t="shared" si="36"/>
        <v>328587</v>
      </c>
      <c r="BN112" s="75"/>
      <c r="BO112" s="159">
        <f t="shared" si="37"/>
        <v>118878</v>
      </c>
      <c r="BP112" s="159">
        <f t="shared" si="47"/>
        <v>1681336</v>
      </c>
      <c r="BQ112" s="8"/>
    </row>
    <row r="113" spans="2:69" x14ac:dyDescent="0.25">
      <c r="B113" s="35" t="s">
        <v>90</v>
      </c>
      <c r="C113" s="75">
        <f t="shared" ref="C113:L113" si="64">SUM(C61)</f>
        <v>0</v>
      </c>
      <c r="D113" s="75">
        <f>SUM(D61)</f>
        <v>0</v>
      </c>
      <c r="E113" s="75">
        <f t="shared" si="64"/>
        <v>0</v>
      </c>
      <c r="F113" s="75">
        <f t="shared" si="64"/>
        <v>0</v>
      </c>
      <c r="G113" s="75">
        <f t="shared" si="64"/>
        <v>0</v>
      </c>
      <c r="H113" s="75">
        <f t="shared" si="64"/>
        <v>0</v>
      </c>
      <c r="I113" s="75">
        <f t="shared" si="64"/>
        <v>0</v>
      </c>
      <c r="J113" s="75">
        <f t="shared" si="64"/>
        <v>0</v>
      </c>
      <c r="K113" s="75">
        <f>SUM(K61)</f>
        <v>0</v>
      </c>
      <c r="L113" s="75">
        <f t="shared" si="64"/>
        <v>0</v>
      </c>
      <c r="M113" s="75"/>
      <c r="N113" s="75">
        <f>SUM(N61)</f>
        <v>72000</v>
      </c>
      <c r="O113" s="75">
        <f>SUM(O61)</f>
        <v>0</v>
      </c>
      <c r="P113" s="75">
        <f>SUM(P61)</f>
        <v>0</v>
      </c>
      <c r="Q113" s="75">
        <f>SUM(Q61)</f>
        <v>0</v>
      </c>
      <c r="R113" s="75">
        <f t="shared" ref="R113:Z113" si="65">SUM(R61)</f>
        <v>105448</v>
      </c>
      <c r="S113" s="75">
        <f t="shared" si="65"/>
        <v>0</v>
      </c>
      <c r="T113" s="75">
        <f t="shared" si="65"/>
        <v>25768</v>
      </c>
      <c r="U113" s="75">
        <f t="shared" si="65"/>
        <v>0</v>
      </c>
      <c r="V113" s="75">
        <f t="shared" si="65"/>
        <v>348980</v>
      </c>
      <c r="W113" s="75">
        <f>SUM(W61)</f>
        <v>0</v>
      </c>
      <c r="X113" s="75">
        <f t="shared" si="65"/>
        <v>0</v>
      </c>
      <c r="Y113" s="75">
        <f t="shared" si="65"/>
        <v>0</v>
      </c>
      <c r="Z113" s="75">
        <f t="shared" si="65"/>
        <v>0</v>
      </c>
      <c r="AA113" s="75">
        <f>SUM(AA61)</f>
        <v>0</v>
      </c>
      <c r="AB113" s="75">
        <f t="shared" ref="AB113:AG113" si="66">SUM(AB61)</f>
        <v>0</v>
      </c>
      <c r="AC113" s="75">
        <f t="shared" si="66"/>
        <v>0</v>
      </c>
      <c r="AD113" s="75">
        <f t="shared" si="66"/>
        <v>0</v>
      </c>
      <c r="AE113" s="75">
        <f t="shared" si="66"/>
        <v>0</v>
      </c>
      <c r="AF113" s="75">
        <f t="shared" si="66"/>
        <v>0</v>
      </c>
      <c r="AG113" s="75">
        <f t="shared" si="66"/>
        <v>0</v>
      </c>
      <c r="AH113" s="75">
        <f>SUM(AH61)</f>
        <v>0</v>
      </c>
      <c r="AI113" s="75">
        <f t="shared" ref="AI113:AO113" si="67">SUM(AI61)</f>
        <v>0</v>
      </c>
      <c r="AJ113" s="75">
        <f t="shared" si="67"/>
        <v>0</v>
      </c>
      <c r="AK113" s="75">
        <f t="shared" si="67"/>
        <v>0</v>
      </c>
      <c r="AL113" s="75">
        <f t="shared" si="67"/>
        <v>24000</v>
      </c>
      <c r="AM113" s="75">
        <f t="shared" si="67"/>
        <v>0</v>
      </c>
      <c r="AN113" s="75">
        <f t="shared" si="67"/>
        <v>1200</v>
      </c>
      <c r="AO113" s="75">
        <f t="shared" si="67"/>
        <v>0</v>
      </c>
      <c r="AP113" s="75">
        <f>SUM(AP61)</f>
        <v>75000</v>
      </c>
      <c r="AQ113" s="75">
        <f t="shared" ref="AQ113:AZ113" si="68">SUM(AQ61)</f>
        <v>0</v>
      </c>
      <c r="AR113" s="75">
        <f t="shared" si="68"/>
        <v>0</v>
      </c>
      <c r="AS113" s="75">
        <f t="shared" si="68"/>
        <v>0</v>
      </c>
      <c r="AT113" s="75">
        <f t="shared" si="68"/>
        <v>0</v>
      </c>
      <c r="AU113" s="75">
        <f t="shared" si="68"/>
        <v>0</v>
      </c>
      <c r="AV113" s="75">
        <f t="shared" si="68"/>
        <v>0</v>
      </c>
      <c r="AW113" s="75">
        <f t="shared" si="68"/>
        <v>0</v>
      </c>
      <c r="AX113" s="75">
        <f t="shared" si="68"/>
        <v>652396</v>
      </c>
      <c r="AY113" s="75"/>
      <c r="AZ113" s="75">
        <f t="shared" si="68"/>
        <v>10080143</v>
      </c>
      <c r="BA113" s="75"/>
      <c r="BB113" s="75">
        <f t="shared" si="33"/>
        <v>10732539</v>
      </c>
      <c r="BC113" s="7"/>
      <c r="BD113" s="128">
        <f t="shared" si="34"/>
        <v>0</v>
      </c>
      <c r="BE113" s="128">
        <f t="shared" si="43"/>
        <v>652396</v>
      </c>
      <c r="BF113" s="7"/>
      <c r="BG113" s="48">
        <f t="shared" si="44"/>
        <v>10732539</v>
      </c>
      <c r="BH113" s="8">
        <f t="shared" si="53"/>
        <v>652396</v>
      </c>
      <c r="BI113" s="8">
        <f t="shared" si="35"/>
        <v>0</v>
      </c>
      <c r="BJ113" s="8">
        <f t="shared" si="45"/>
        <v>652396</v>
      </c>
      <c r="BK113" s="83">
        <f t="shared" si="46"/>
        <v>10732539</v>
      </c>
      <c r="BL113" s="75"/>
      <c r="BM113" s="75">
        <f t="shared" si="36"/>
        <v>652396</v>
      </c>
      <c r="BN113" s="75"/>
      <c r="BO113" s="159">
        <f t="shared" si="37"/>
        <v>0</v>
      </c>
      <c r="BP113" s="159">
        <f t="shared" si="47"/>
        <v>10732539</v>
      </c>
      <c r="BQ113" s="8"/>
    </row>
    <row r="114" spans="2:69" x14ac:dyDescent="0.25">
      <c r="B114" s="35" t="s">
        <v>132</v>
      </c>
      <c r="C114" s="75">
        <f t="shared" ref="C114:L114" si="69">SUM(C62:C69)</f>
        <v>65540</v>
      </c>
      <c r="D114" s="75">
        <f t="shared" si="69"/>
        <v>1750</v>
      </c>
      <c r="E114" s="75">
        <f t="shared" si="69"/>
        <v>31100</v>
      </c>
      <c r="F114" s="75">
        <f t="shared" si="69"/>
        <v>30689</v>
      </c>
      <c r="G114" s="75">
        <f t="shared" si="69"/>
        <v>27960</v>
      </c>
      <c r="H114" s="75">
        <f t="shared" si="69"/>
        <v>16965</v>
      </c>
      <c r="I114" s="75">
        <f t="shared" si="69"/>
        <v>0</v>
      </c>
      <c r="J114" s="75">
        <f t="shared" si="69"/>
        <v>29800</v>
      </c>
      <c r="K114" s="75">
        <f t="shared" si="69"/>
        <v>8200</v>
      </c>
      <c r="L114" s="75">
        <f t="shared" si="69"/>
        <v>212004</v>
      </c>
      <c r="M114" s="75"/>
      <c r="N114" s="75">
        <f>SUM(N62:N69)</f>
        <v>0</v>
      </c>
      <c r="O114" s="75">
        <f>SUM(O62:O69)</f>
        <v>0</v>
      </c>
      <c r="P114" s="75">
        <f>SUM(P62:P69)</f>
        <v>0</v>
      </c>
      <c r="Q114" s="75">
        <f>SUM(Q62:Q69)</f>
        <v>0</v>
      </c>
      <c r="R114" s="75">
        <f t="shared" ref="R114:Z114" si="70">SUM(R62:R69)</f>
        <v>6000</v>
      </c>
      <c r="S114" s="75">
        <f t="shared" si="70"/>
        <v>0</v>
      </c>
      <c r="T114" s="75">
        <f t="shared" si="70"/>
        <v>1500</v>
      </c>
      <c r="U114" s="75">
        <f t="shared" si="70"/>
        <v>0</v>
      </c>
      <c r="V114" s="75">
        <f t="shared" si="70"/>
        <v>0</v>
      </c>
      <c r="W114" s="75">
        <f>SUM(W62:W69)</f>
        <v>0</v>
      </c>
      <c r="X114" s="75">
        <f t="shared" si="70"/>
        <v>0</v>
      </c>
      <c r="Y114" s="75">
        <f t="shared" si="70"/>
        <v>19035</v>
      </c>
      <c r="Z114" s="75">
        <f t="shared" si="70"/>
        <v>12440</v>
      </c>
      <c r="AA114" s="75">
        <f>SUM(AA62:AA69)</f>
        <v>0</v>
      </c>
      <c r="AB114" s="75">
        <f t="shared" ref="AB114:AG114" si="71">SUM(AB62:AB69)</f>
        <v>0</v>
      </c>
      <c r="AC114" s="75">
        <f t="shared" si="71"/>
        <v>0</v>
      </c>
      <c r="AD114" s="75">
        <f t="shared" si="71"/>
        <v>0</v>
      </c>
      <c r="AE114" s="75">
        <f t="shared" si="71"/>
        <v>0</v>
      </c>
      <c r="AF114" s="75">
        <f t="shared" si="71"/>
        <v>0</v>
      </c>
      <c r="AG114" s="75">
        <f t="shared" si="71"/>
        <v>0</v>
      </c>
      <c r="AH114" s="75">
        <f>SUM(AH62:AH69)</f>
        <v>0</v>
      </c>
      <c r="AI114" s="75">
        <f t="shared" ref="AI114:AO114" si="72">SUM(AI62:AI69)</f>
        <v>0</v>
      </c>
      <c r="AJ114" s="75">
        <f t="shared" si="72"/>
        <v>0</v>
      </c>
      <c r="AK114" s="75">
        <f t="shared" si="72"/>
        <v>0</v>
      </c>
      <c r="AL114" s="75">
        <f t="shared" si="72"/>
        <v>0</v>
      </c>
      <c r="AM114" s="75">
        <f t="shared" si="72"/>
        <v>0</v>
      </c>
      <c r="AN114" s="75">
        <f t="shared" si="72"/>
        <v>0</v>
      </c>
      <c r="AO114" s="75">
        <f t="shared" si="72"/>
        <v>0</v>
      </c>
      <c r="AP114" s="75">
        <f>SUM(AP62:AP69)</f>
        <v>0</v>
      </c>
      <c r="AQ114" s="75">
        <f t="shared" ref="AQ114:AZ114" si="73">SUM(AQ62:AQ69)</f>
        <v>0</v>
      </c>
      <c r="AR114" s="75">
        <f t="shared" si="73"/>
        <v>0</v>
      </c>
      <c r="AS114" s="75">
        <f t="shared" si="73"/>
        <v>4200</v>
      </c>
      <c r="AT114" s="75">
        <f t="shared" si="73"/>
        <v>0</v>
      </c>
      <c r="AU114" s="75">
        <f t="shared" si="73"/>
        <v>16200</v>
      </c>
      <c r="AV114" s="75">
        <f t="shared" si="73"/>
        <v>60</v>
      </c>
      <c r="AW114" s="75">
        <f t="shared" si="73"/>
        <v>15000</v>
      </c>
      <c r="AX114" s="75">
        <f t="shared" si="73"/>
        <v>74435</v>
      </c>
      <c r="AY114" s="75"/>
      <c r="AZ114" s="75">
        <f t="shared" si="73"/>
        <v>9300</v>
      </c>
      <c r="BA114" s="75"/>
      <c r="BB114" s="75">
        <f t="shared" si="33"/>
        <v>295739</v>
      </c>
      <c r="BC114" s="7"/>
      <c r="BD114" s="128">
        <f t="shared" si="34"/>
        <v>54435</v>
      </c>
      <c r="BE114" s="128">
        <f t="shared" si="43"/>
        <v>20000</v>
      </c>
      <c r="BF114" s="7"/>
      <c r="BG114" s="48">
        <f t="shared" si="44"/>
        <v>241304</v>
      </c>
      <c r="BH114" s="8">
        <f t="shared" si="53"/>
        <v>20000</v>
      </c>
      <c r="BI114" s="8">
        <f t="shared" si="35"/>
        <v>54435</v>
      </c>
      <c r="BJ114" s="8">
        <f t="shared" si="45"/>
        <v>74435</v>
      </c>
      <c r="BK114" s="83">
        <f t="shared" si="46"/>
        <v>241304</v>
      </c>
      <c r="BL114" s="75"/>
      <c r="BM114" s="75">
        <f t="shared" si="36"/>
        <v>20000</v>
      </c>
      <c r="BN114" s="75"/>
      <c r="BO114" s="159">
        <f t="shared" si="37"/>
        <v>54435</v>
      </c>
      <c r="BP114" s="159">
        <f t="shared" si="47"/>
        <v>241304</v>
      </c>
      <c r="BQ114" s="8"/>
    </row>
    <row r="115" spans="2:69" x14ac:dyDescent="0.25">
      <c r="B115" s="35" t="s">
        <v>133</v>
      </c>
      <c r="C115" s="75">
        <f t="shared" ref="C115:L115" si="74">SUM(C70)</f>
        <v>0</v>
      </c>
      <c r="D115" s="75">
        <f>SUM(D70)</f>
        <v>127800</v>
      </c>
      <c r="E115" s="75">
        <f t="shared" si="74"/>
        <v>0</v>
      </c>
      <c r="F115" s="75">
        <f t="shared" si="74"/>
        <v>0</v>
      </c>
      <c r="G115" s="75">
        <f t="shared" si="74"/>
        <v>0</v>
      </c>
      <c r="H115" s="75">
        <f t="shared" si="74"/>
        <v>3600</v>
      </c>
      <c r="I115" s="75">
        <f t="shared" si="74"/>
        <v>0</v>
      </c>
      <c r="J115" s="75">
        <f t="shared" si="74"/>
        <v>0</v>
      </c>
      <c r="K115" s="75">
        <f>SUM(K70)</f>
        <v>0</v>
      </c>
      <c r="L115" s="75">
        <f t="shared" si="74"/>
        <v>131400</v>
      </c>
      <c r="M115" s="75"/>
      <c r="N115" s="75">
        <f>SUM(N70)</f>
        <v>0</v>
      </c>
      <c r="O115" s="75">
        <f>SUM(O70)</f>
        <v>0</v>
      </c>
      <c r="P115" s="75">
        <f>SUM(P70)</f>
        <v>0</v>
      </c>
      <c r="Q115" s="75">
        <f>SUM(Q70)</f>
        <v>0</v>
      </c>
      <c r="R115" s="75">
        <f t="shared" ref="R115:Z115" si="75">SUM(R70)</f>
        <v>0</v>
      </c>
      <c r="S115" s="75">
        <f t="shared" si="75"/>
        <v>0</v>
      </c>
      <c r="T115" s="75">
        <f t="shared" si="75"/>
        <v>0</v>
      </c>
      <c r="U115" s="75">
        <f t="shared" si="75"/>
        <v>0</v>
      </c>
      <c r="V115" s="75">
        <f t="shared" si="75"/>
        <v>0</v>
      </c>
      <c r="W115" s="75">
        <f>SUM(W70)</f>
        <v>0</v>
      </c>
      <c r="X115" s="75">
        <f t="shared" si="75"/>
        <v>2472</v>
      </c>
      <c r="Y115" s="75">
        <f t="shared" si="75"/>
        <v>0</v>
      </c>
      <c r="Z115" s="75">
        <f t="shared" si="75"/>
        <v>0</v>
      </c>
      <c r="AA115" s="75">
        <f>SUM(AA70)</f>
        <v>0</v>
      </c>
      <c r="AB115" s="75">
        <f t="shared" ref="AB115:AG115" si="76">SUM(AB70)</f>
        <v>0</v>
      </c>
      <c r="AC115" s="75">
        <f t="shared" si="76"/>
        <v>0</v>
      </c>
      <c r="AD115" s="75">
        <f t="shared" si="76"/>
        <v>0</v>
      </c>
      <c r="AE115" s="75">
        <f t="shared" si="76"/>
        <v>0</v>
      </c>
      <c r="AF115" s="75">
        <f t="shared" si="76"/>
        <v>0</v>
      </c>
      <c r="AG115" s="75">
        <f t="shared" si="76"/>
        <v>0</v>
      </c>
      <c r="AH115" s="75">
        <f>SUM(AH70)</f>
        <v>0</v>
      </c>
      <c r="AI115" s="75">
        <f t="shared" ref="AI115:AO115" si="77">SUM(AI70)</f>
        <v>0</v>
      </c>
      <c r="AJ115" s="75">
        <f t="shared" si="77"/>
        <v>0</v>
      </c>
      <c r="AK115" s="75">
        <f t="shared" si="77"/>
        <v>0</v>
      </c>
      <c r="AL115" s="75">
        <f t="shared" si="77"/>
        <v>0</v>
      </c>
      <c r="AM115" s="75">
        <f t="shared" si="77"/>
        <v>0</v>
      </c>
      <c r="AN115" s="75">
        <f t="shared" si="77"/>
        <v>0</v>
      </c>
      <c r="AO115" s="75">
        <f t="shared" si="77"/>
        <v>0</v>
      </c>
      <c r="AP115" s="75">
        <f>SUM(AP70)</f>
        <v>100516</v>
      </c>
      <c r="AQ115" s="75">
        <f t="shared" ref="AQ115:AZ115" si="78">SUM(AQ70)</f>
        <v>0</v>
      </c>
      <c r="AR115" s="75">
        <f t="shared" si="78"/>
        <v>1680</v>
      </c>
      <c r="AS115" s="75">
        <f t="shared" si="78"/>
        <v>0</v>
      </c>
      <c r="AT115" s="75">
        <f t="shared" si="78"/>
        <v>0</v>
      </c>
      <c r="AU115" s="75">
        <f t="shared" si="78"/>
        <v>0</v>
      </c>
      <c r="AV115" s="75">
        <f t="shared" si="78"/>
        <v>0</v>
      </c>
      <c r="AW115" s="75">
        <f t="shared" si="78"/>
        <v>0</v>
      </c>
      <c r="AX115" s="75">
        <f t="shared" si="78"/>
        <v>104668</v>
      </c>
      <c r="AY115" s="75"/>
      <c r="AZ115" s="75">
        <f t="shared" si="78"/>
        <v>2400</v>
      </c>
      <c r="BA115" s="75"/>
      <c r="BB115" s="75">
        <f t="shared" si="33"/>
        <v>238468</v>
      </c>
      <c r="BC115" s="7"/>
      <c r="BD115" s="128">
        <f t="shared" si="34"/>
        <v>0</v>
      </c>
      <c r="BE115" s="128">
        <f t="shared" si="43"/>
        <v>104668</v>
      </c>
      <c r="BF115" s="7"/>
      <c r="BG115" s="48">
        <f t="shared" si="44"/>
        <v>238468</v>
      </c>
      <c r="BH115" s="8">
        <f t="shared" si="53"/>
        <v>104668</v>
      </c>
      <c r="BI115" s="8">
        <f t="shared" si="35"/>
        <v>0</v>
      </c>
      <c r="BJ115" s="8">
        <f t="shared" si="45"/>
        <v>104668</v>
      </c>
      <c r="BK115" s="83">
        <f t="shared" si="46"/>
        <v>238468</v>
      </c>
      <c r="BL115" s="75"/>
      <c r="BM115" s="75">
        <f t="shared" si="36"/>
        <v>104668</v>
      </c>
      <c r="BN115" s="75"/>
      <c r="BO115" s="159">
        <f t="shared" si="37"/>
        <v>0</v>
      </c>
      <c r="BP115" s="159">
        <f t="shared" si="47"/>
        <v>238468</v>
      </c>
      <c r="BQ115" s="8"/>
    </row>
    <row r="116" spans="2:69" x14ac:dyDescent="0.25">
      <c r="B116" s="35" t="s">
        <v>134</v>
      </c>
      <c r="C116" s="75">
        <f t="shared" ref="C116:L116" si="79">SUM(C71:C78)</f>
        <v>0</v>
      </c>
      <c r="D116" s="75">
        <f t="shared" si="79"/>
        <v>70000</v>
      </c>
      <c r="E116" s="75">
        <f t="shared" si="79"/>
        <v>0</v>
      </c>
      <c r="F116" s="75">
        <f t="shared" si="79"/>
        <v>0</v>
      </c>
      <c r="G116" s="75">
        <f t="shared" si="79"/>
        <v>0</v>
      </c>
      <c r="H116" s="75">
        <f t="shared" si="79"/>
        <v>0</v>
      </c>
      <c r="I116" s="75">
        <f t="shared" si="79"/>
        <v>0</v>
      </c>
      <c r="J116" s="75">
        <f t="shared" si="79"/>
        <v>0</v>
      </c>
      <c r="K116" s="75">
        <f t="shared" si="79"/>
        <v>0</v>
      </c>
      <c r="L116" s="75">
        <f t="shared" si="79"/>
        <v>70000</v>
      </c>
      <c r="M116" s="75"/>
      <c r="N116" s="75">
        <f>SUM(N71:N78)</f>
        <v>0</v>
      </c>
      <c r="O116" s="75">
        <f>SUM(O71:O78)</f>
        <v>0</v>
      </c>
      <c r="P116" s="75">
        <f>SUM(P71:P78)</f>
        <v>0</v>
      </c>
      <c r="Q116" s="75">
        <f>SUM(Q71:Q78)</f>
        <v>0</v>
      </c>
      <c r="R116" s="75">
        <f t="shared" ref="R116:Z116" si="80">SUM(R71:R78)</f>
        <v>0</v>
      </c>
      <c r="S116" s="75">
        <f t="shared" si="80"/>
        <v>0</v>
      </c>
      <c r="T116" s="75">
        <f t="shared" si="80"/>
        <v>0</v>
      </c>
      <c r="U116" s="75">
        <f t="shared" si="80"/>
        <v>0</v>
      </c>
      <c r="V116" s="75">
        <f t="shared" si="80"/>
        <v>0</v>
      </c>
      <c r="W116" s="75">
        <f>SUM(W71:W78)</f>
        <v>0</v>
      </c>
      <c r="X116" s="75">
        <f t="shared" si="80"/>
        <v>1382069</v>
      </c>
      <c r="Y116" s="75">
        <f t="shared" si="80"/>
        <v>0</v>
      </c>
      <c r="Z116" s="75">
        <f t="shared" si="80"/>
        <v>0</v>
      </c>
      <c r="AA116" s="75">
        <f>SUM(AA71:AA78)</f>
        <v>0</v>
      </c>
      <c r="AB116" s="75">
        <f t="shared" ref="AB116:AG116" si="81">SUM(AB71:AB78)</f>
        <v>0</v>
      </c>
      <c r="AC116" s="75">
        <f t="shared" si="81"/>
        <v>0</v>
      </c>
      <c r="AD116" s="75">
        <f t="shared" si="81"/>
        <v>0</v>
      </c>
      <c r="AE116" s="75">
        <f t="shared" si="81"/>
        <v>0</v>
      </c>
      <c r="AF116" s="75">
        <f t="shared" si="81"/>
        <v>0</v>
      </c>
      <c r="AG116" s="75">
        <f t="shared" si="81"/>
        <v>0</v>
      </c>
      <c r="AH116" s="75">
        <f>SUM(AH71:AH78)</f>
        <v>0</v>
      </c>
      <c r="AI116" s="75">
        <f t="shared" ref="AI116:AO116" si="82">SUM(AI71:AI78)</f>
        <v>0</v>
      </c>
      <c r="AJ116" s="75">
        <f t="shared" si="82"/>
        <v>0</v>
      </c>
      <c r="AK116" s="75">
        <f t="shared" si="82"/>
        <v>0</v>
      </c>
      <c r="AL116" s="75">
        <f t="shared" si="82"/>
        <v>0</v>
      </c>
      <c r="AM116" s="75">
        <f t="shared" si="82"/>
        <v>0</v>
      </c>
      <c r="AN116" s="75">
        <f t="shared" si="82"/>
        <v>0</v>
      </c>
      <c r="AO116" s="75">
        <f t="shared" si="82"/>
        <v>0</v>
      </c>
      <c r="AP116" s="75">
        <f>SUM(AP71:AP78)</f>
        <v>0</v>
      </c>
      <c r="AQ116" s="75">
        <f t="shared" ref="AQ116:AZ116" si="83">SUM(AQ71:AQ78)</f>
        <v>0</v>
      </c>
      <c r="AR116" s="75">
        <f t="shared" si="83"/>
        <v>0</v>
      </c>
      <c r="AS116" s="75">
        <f t="shared" si="83"/>
        <v>0</v>
      </c>
      <c r="AT116" s="75">
        <f t="shared" si="83"/>
        <v>0</v>
      </c>
      <c r="AU116" s="75">
        <f t="shared" si="83"/>
        <v>0</v>
      </c>
      <c r="AV116" s="75">
        <f t="shared" si="83"/>
        <v>0</v>
      </c>
      <c r="AW116" s="75">
        <f t="shared" si="83"/>
        <v>0</v>
      </c>
      <c r="AX116" s="75">
        <f t="shared" si="83"/>
        <v>1382069</v>
      </c>
      <c r="AY116" s="75"/>
      <c r="AZ116" s="75">
        <f t="shared" si="83"/>
        <v>9037306</v>
      </c>
      <c r="BA116" s="75"/>
      <c r="BB116" s="75">
        <f t="shared" si="33"/>
        <v>10489375</v>
      </c>
      <c r="BC116" s="7"/>
      <c r="BD116" s="128">
        <f t="shared" si="34"/>
        <v>0</v>
      </c>
      <c r="BE116" s="128">
        <f t="shared" si="43"/>
        <v>1382069</v>
      </c>
      <c r="BF116" s="7"/>
      <c r="BG116" s="48">
        <f t="shared" si="44"/>
        <v>10489375</v>
      </c>
      <c r="BH116" s="8">
        <f t="shared" si="53"/>
        <v>1382069</v>
      </c>
      <c r="BI116" s="8">
        <f t="shared" si="35"/>
        <v>0</v>
      </c>
      <c r="BJ116" s="8">
        <f t="shared" si="45"/>
        <v>1382069</v>
      </c>
      <c r="BK116" s="83">
        <f t="shared" si="46"/>
        <v>10489375</v>
      </c>
      <c r="BL116" s="75"/>
      <c r="BM116" s="75">
        <f t="shared" si="36"/>
        <v>1382069</v>
      </c>
      <c r="BN116" s="75"/>
      <c r="BO116" s="159">
        <f t="shared" si="37"/>
        <v>0</v>
      </c>
      <c r="BP116" s="159">
        <f t="shared" si="47"/>
        <v>10489375</v>
      </c>
      <c r="BQ116" s="8"/>
    </row>
    <row r="117" spans="2:69" x14ac:dyDescent="0.25">
      <c r="B117" s="35" t="s">
        <v>128</v>
      </c>
      <c r="C117" s="109">
        <f>SUM(C108:C116)</f>
        <v>824012</v>
      </c>
      <c r="D117" s="109">
        <f>SUM(D108:D116)</f>
        <v>438298</v>
      </c>
      <c r="E117" s="109">
        <f t="shared" ref="E117:BB117" si="84">SUM(E108:E116)</f>
        <v>94585</v>
      </c>
      <c r="F117" s="109">
        <f t="shared" si="84"/>
        <v>1750971</v>
      </c>
      <c r="G117" s="109">
        <f t="shared" si="84"/>
        <v>1113199</v>
      </c>
      <c r="H117" s="109">
        <f t="shared" si="84"/>
        <v>759809</v>
      </c>
      <c r="I117" s="109">
        <f t="shared" si="84"/>
        <v>550412</v>
      </c>
      <c r="J117" s="109">
        <f t="shared" si="84"/>
        <v>202367</v>
      </c>
      <c r="K117" s="109">
        <f t="shared" si="84"/>
        <v>537476</v>
      </c>
      <c r="L117" s="109">
        <f t="shared" si="84"/>
        <v>6271129</v>
      </c>
      <c r="M117" s="75"/>
      <c r="N117" s="109">
        <f>SUM(N108:N116)</f>
        <v>499532</v>
      </c>
      <c r="O117" s="109">
        <f>SUM(O108:O116)</f>
        <v>1272514</v>
      </c>
      <c r="P117" s="109">
        <f>SUM(P108:P116)</f>
        <v>0</v>
      </c>
      <c r="Q117" s="109">
        <f>SUM(Q108:Q116)</f>
        <v>0</v>
      </c>
      <c r="R117" s="109">
        <f t="shared" ref="R117:Z117" si="85">SUM(R108:R116)</f>
        <v>174474</v>
      </c>
      <c r="S117" s="109">
        <f t="shared" si="85"/>
        <v>133460</v>
      </c>
      <c r="T117" s="109">
        <f t="shared" si="85"/>
        <v>34521</v>
      </c>
      <c r="U117" s="109">
        <f t="shared" si="85"/>
        <v>16046</v>
      </c>
      <c r="V117" s="109">
        <f t="shared" si="85"/>
        <v>348980</v>
      </c>
      <c r="W117" s="109">
        <f>SUM(W108:W116)</f>
        <v>0</v>
      </c>
      <c r="X117" s="109">
        <f t="shared" si="85"/>
        <v>2310741</v>
      </c>
      <c r="Y117" s="109">
        <f t="shared" si="85"/>
        <v>657727</v>
      </c>
      <c r="Z117" s="109">
        <f t="shared" si="85"/>
        <v>385550</v>
      </c>
      <c r="AA117" s="109">
        <f t="shared" si="84"/>
        <v>0</v>
      </c>
      <c r="AB117" s="109">
        <f t="shared" si="84"/>
        <v>434062</v>
      </c>
      <c r="AC117" s="109">
        <f t="shared" si="84"/>
        <v>1400820</v>
      </c>
      <c r="AD117" s="109">
        <f t="shared" si="84"/>
        <v>0</v>
      </c>
      <c r="AE117" s="109">
        <f t="shared" si="84"/>
        <v>0</v>
      </c>
      <c r="AF117" s="109">
        <f t="shared" si="84"/>
        <v>240841</v>
      </c>
      <c r="AG117" s="109">
        <f t="shared" si="84"/>
        <v>893306</v>
      </c>
      <c r="AH117" s="109">
        <f t="shared" si="84"/>
        <v>0</v>
      </c>
      <c r="AI117" s="109">
        <f t="shared" si="84"/>
        <v>0</v>
      </c>
      <c r="AJ117" s="109">
        <f t="shared" si="84"/>
        <v>135024</v>
      </c>
      <c r="AK117" s="109">
        <f t="shared" si="84"/>
        <v>305120</v>
      </c>
      <c r="AL117" s="109">
        <f t="shared" si="84"/>
        <v>41201</v>
      </c>
      <c r="AM117" s="109">
        <f t="shared" si="84"/>
        <v>34016</v>
      </c>
      <c r="AN117" s="109">
        <f t="shared" si="84"/>
        <v>154869</v>
      </c>
      <c r="AO117" s="109">
        <f t="shared" si="84"/>
        <v>300401</v>
      </c>
      <c r="AP117" s="109">
        <f t="shared" si="84"/>
        <v>230463</v>
      </c>
      <c r="AQ117" s="109">
        <f t="shared" si="84"/>
        <v>137560</v>
      </c>
      <c r="AR117" s="109">
        <f t="shared" si="84"/>
        <v>132744</v>
      </c>
      <c r="AS117" s="109">
        <f t="shared" si="84"/>
        <v>580194</v>
      </c>
      <c r="AT117" s="109">
        <f t="shared" si="84"/>
        <v>35580</v>
      </c>
      <c r="AU117" s="109">
        <f t="shared" si="84"/>
        <v>1023619</v>
      </c>
      <c r="AV117" s="109">
        <f t="shared" si="84"/>
        <v>1003251</v>
      </c>
      <c r="AW117" s="109">
        <f t="shared" si="84"/>
        <v>1273056</v>
      </c>
      <c r="AX117" s="109">
        <f t="shared" si="84"/>
        <v>14189672</v>
      </c>
      <c r="AY117" s="75"/>
      <c r="AZ117" s="109">
        <f t="shared" si="84"/>
        <v>22523633</v>
      </c>
      <c r="BA117" s="75"/>
      <c r="BB117" s="109">
        <f t="shared" si="84"/>
        <v>42984434</v>
      </c>
      <c r="BC117" s="7"/>
      <c r="BD117" s="129">
        <f t="shared" si="34"/>
        <v>8027839</v>
      </c>
      <c r="BE117" s="129">
        <f>SUM(BE108:BE116)</f>
        <v>6161833</v>
      </c>
      <c r="BF117" s="7"/>
      <c r="BG117" s="49">
        <f>SUM(BG108:BG116)</f>
        <v>34956595</v>
      </c>
      <c r="BH117" s="8">
        <f>SUM(BH108:BH116)</f>
        <v>6161833</v>
      </c>
      <c r="BI117" s="8">
        <f>SUM(BI108:BI116)</f>
        <v>8027839</v>
      </c>
      <c r="BJ117" s="8">
        <f>SUM(BJ108:BJ116)</f>
        <v>14189672</v>
      </c>
      <c r="BK117" s="83">
        <f t="shared" si="46"/>
        <v>34956595</v>
      </c>
      <c r="BL117" s="109"/>
      <c r="BM117" s="109">
        <f>SUM(BM108:BM116)</f>
        <v>6161833</v>
      </c>
      <c r="BN117" s="109"/>
      <c r="BO117" s="160">
        <f>SUM(BO108:BO116)</f>
        <v>8027839</v>
      </c>
      <c r="BP117" s="160">
        <f>SUM(BP108:BP116)</f>
        <v>34956595</v>
      </c>
      <c r="BQ117" s="8"/>
    </row>
    <row r="118" spans="2:69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L118" s="7"/>
      <c r="BM118" s="7"/>
      <c r="BN118" s="7"/>
      <c r="BQ118" s="8"/>
    </row>
    <row r="119" spans="2:69" s="44" customFormat="1" ht="40.200000000000003" hidden="1" customHeight="1" x14ac:dyDescent="0.25">
      <c r="B119" s="50" t="s">
        <v>135</v>
      </c>
      <c r="C119" s="51" t="s">
        <v>136</v>
      </c>
      <c r="D119" s="52" t="s">
        <v>137</v>
      </c>
      <c r="E119" s="51" t="s">
        <v>138</v>
      </c>
      <c r="F119" s="52" t="s">
        <v>139</v>
      </c>
      <c r="G119" s="52" t="s">
        <v>140</v>
      </c>
      <c r="H119" s="52" t="s">
        <v>141</v>
      </c>
      <c r="I119" s="52" t="s">
        <v>142</v>
      </c>
      <c r="J119" s="52" t="s">
        <v>143</v>
      </c>
      <c r="K119" s="52" t="s">
        <v>144</v>
      </c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 t="s">
        <v>145</v>
      </c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3" t="s">
        <v>146</v>
      </c>
      <c r="BA119" s="54"/>
      <c r="BB119" s="54"/>
      <c r="BC119" s="54"/>
      <c r="BD119" s="130"/>
      <c r="BE119" s="130"/>
      <c r="BF119" s="54"/>
      <c r="BG119" s="38"/>
      <c r="BH119" s="38"/>
      <c r="BI119" s="38"/>
      <c r="BL119" s="51"/>
      <c r="BM119" s="51"/>
      <c r="BN119" s="155"/>
      <c r="BO119" s="151"/>
      <c r="BP119" s="151"/>
      <c r="BQ119" s="54"/>
    </row>
    <row r="120" spans="2:69" ht="40.200000000000003" hidden="1" customHeight="1" x14ac:dyDescent="0.25">
      <c r="B120" s="55"/>
      <c r="D120" s="54" t="s">
        <v>147</v>
      </c>
      <c r="E120" s="56"/>
      <c r="F120" s="57" t="s">
        <v>148</v>
      </c>
      <c r="G120" s="57" t="s">
        <v>149</v>
      </c>
      <c r="H120" s="57" t="s">
        <v>150</v>
      </c>
      <c r="I120" s="58"/>
      <c r="J120" s="58"/>
      <c r="K120" s="57" t="s">
        <v>151</v>
      </c>
      <c r="L120" s="59"/>
      <c r="M120" s="60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60" t="s">
        <v>152</v>
      </c>
      <c r="AZ120" s="61" t="s">
        <v>153</v>
      </c>
      <c r="BG120" s="38"/>
      <c r="BH120" s="38"/>
      <c r="BI120" s="38"/>
      <c r="BQ120" s="8"/>
    </row>
    <row r="121" spans="2:69" ht="40.200000000000003" hidden="1" customHeight="1" x14ac:dyDescent="0.25">
      <c r="B121" s="55"/>
      <c r="D121" s="56"/>
      <c r="E121" s="56"/>
      <c r="F121" s="57" t="s">
        <v>154</v>
      </c>
      <c r="G121" s="57" t="s">
        <v>155</v>
      </c>
      <c r="H121" s="57" t="s">
        <v>156</v>
      </c>
      <c r="I121" s="58"/>
      <c r="J121" s="58"/>
      <c r="K121" s="57" t="s">
        <v>157</v>
      </c>
      <c r="L121" s="59"/>
      <c r="M121" s="60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60" t="s">
        <v>158</v>
      </c>
      <c r="AZ121" s="61" t="s">
        <v>159</v>
      </c>
      <c r="BG121" s="38"/>
      <c r="BH121" s="38"/>
      <c r="BI121" s="38"/>
      <c r="BQ121" s="8"/>
    </row>
    <row r="122" spans="2:69" ht="40.200000000000003" hidden="1" customHeight="1" x14ac:dyDescent="0.25">
      <c r="B122" s="55"/>
      <c r="D122" s="56"/>
      <c r="E122" s="56"/>
      <c r="F122" s="57" t="s">
        <v>160</v>
      </c>
      <c r="G122" s="57" t="s">
        <v>161</v>
      </c>
      <c r="H122" s="57" t="s">
        <v>162</v>
      </c>
      <c r="I122" s="58"/>
      <c r="J122" s="58"/>
      <c r="K122" s="58"/>
      <c r="L122" s="59"/>
      <c r="M122" s="60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60" t="s">
        <v>163</v>
      </c>
      <c r="AZ122" s="61" t="s">
        <v>164</v>
      </c>
      <c r="BG122" s="38"/>
      <c r="BH122" s="38"/>
      <c r="BI122" s="38"/>
      <c r="BJ122" s="38"/>
      <c r="BK122" s="38"/>
      <c r="BQ122" s="8"/>
    </row>
    <row r="123" spans="2:69" ht="40.200000000000003" hidden="1" customHeight="1" x14ac:dyDescent="0.25">
      <c r="B123" s="55"/>
      <c r="D123" s="56"/>
      <c r="E123" s="56"/>
      <c r="F123" s="57" t="s">
        <v>165</v>
      </c>
      <c r="G123" s="57" t="s">
        <v>166</v>
      </c>
      <c r="H123" s="57" t="s">
        <v>167</v>
      </c>
      <c r="I123" s="58"/>
      <c r="J123" s="58"/>
      <c r="K123" s="58"/>
      <c r="L123" s="59"/>
      <c r="M123" s="60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60" t="s">
        <v>163</v>
      </c>
      <c r="AZ123" s="62"/>
      <c r="BJ123" s="38"/>
      <c r="BK123" s="38"/>
      <c r="BO123" s="152"/>
      <c r="BP123" s="152"/>
      <c r="BQ123" s="38"/>
    </row>
    <row r="124" spans="2:69" ht="40.200000000000003" hidden="1" customHeight="1" x14ac:dyDescent="0.25">
      <c r="B124" s="55"/>
      <c r="D124" s="56"/>
      <c r="E124" s="56"/>
      <c r="F124" s="57" t="s">
        <v>168</v>
      </c>
      <c r="G124" s="57" t="s">
        <v>169</v>
      </c>
      <c r="H124" s="57" t="s">
        <v>170</v>
      </c>
      <c r="I124" s="58"/>
      <c r="J124" s="58"/>
      <c r="K124" s="58"/>
      <c r="L124" s="59"/>
      <c r="M124" s="60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60" t="s">
        <v>171</v>
      </c>
      <c r="AZ124" s="62"/>
      <c r="BJ124" s="38"/>
      <c r="BK124" s="38"/>
      <c r="BO124" s="152"/>
      <c r="BP124" s="152"/>
      <c r="BQ124" s="38"/>
    </row>
    <row r="125" spans="2:69" ht="40.200000000000003" hidden="1" customHeight="1" x14ac:dyDescent="0.25">
      <c r="B125" s="55"/>
      <c r="D125" s="56"/>
      <c r="E125" s="56"/>
      <c r="F125" s="57" t="s">
        <v>172</v>
      </c>
      <c r="G125" s="58"/>
      <c r="H125" s="57" t="s">
        <v>173</v>
      </c>
      <c r="I125" s="58"/>
      <c r="J125" s="58"/>
      <c r="K125" s="58"/>
      <c r="L125" s="59"/>
      <c r="M125" s="60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60" t="s">
        <v>174</v>
      </c>
      <c r="AZ125" s="62"/>
      <c r="BJ125" s="38"/>
      <c r="BK125" s="38"/>
      <c r="BO125" s="152"/>
      <c r="BP125" s="152"/>
      <c r="BQ125" s="38"/>
    </row>
    <row r="126" spans="2:69" ht="40.200000000000003" hidden="1" customHeight="1" x14ac:dyDescent="0.25">
      <c r="B126" s="55"/>
      <c r="D126" s="56"/>
      <c r="E126" s="56"/>
      <c r="F126" s="57" t="s">
        <v>175</v>
      </c>
      <c r="G126" s="58"/>
      <c r="H126" s="57" t="s">
        <v>150</v>
      </c>
      <c r="I126" s="58"/>
      <c r="J126" s="58"/>
      <c r="K126" s="58"/>
      <c r="L126" s="59"/>
      <c r="M126" s="60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60" t="s">
        <v>176</v>
      </c>
      <c r="AZ126" s="62"/>
      <c r="BO126" s="152"/>
      <c r="BP126" s="152"/>
      <c r="BQ126" s="38"/>
    </row>
    <row r="127" spans="2:69" ht="40.200000000000003" hidden="1" customHeight="1" x14ac:dyDescent="0.25">
      <c r="B127" s="55"/>
      <c r="D127" s="56"/>
      <c r="E127" s="56"/>
      <c r="F127" s="57" t="s">
        <v>177</v>
      </c>
      <c r="G127" s="58"/>
      <c r="H127" s="58"/>
      <c r="I127" s="58"/>
      <c r="J127" s="58"/>
      <c r="K127" s="58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Z127" s="62"/>
    </row>
    <row r="128" spans="2:69" ht="40.200000000000003" hidden="1" customHeight="1" x14ac:dyDescent="0.25">
      <c r="B128" s="63"/>
      <c r="C128" s="9"/>
      <c r="D128" s="64"/>
      <c r="E128" s="64"/>
      <c r="F128" s="65" t="s">
        <v>178</v>
      </c>
      <c r="G128" s="66"/>
      <c r="H128" s="66"/>
      <c r="I128" s="66"/>
      <c r="J128" s="66"/>
      <c r="K128" s="66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68"/>
      <c r="BL128" s="9"/>
      <c r="BM128" s="9"/>
      <c r="BN128" s="156"/>
    </row>
    <row r="129" spans="4:61" ht="40.200000000000003" hidden="1" customHeight="1" x14ac:dyDescent="0.25">
      <c r="D129" s="56"/>
      <c r="E129" s="56"/>
      <c r="F129" s="58"/>
      <c r="G129" s="58"/>
      <c r="H129" s="58"/>
      <c r="I129" s="58"/>
      <c r="J129" s="58"/>
      <c r="K129" s="58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4:61" x14ac:dyDescent="0.25"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3" spans="4:61" x14ac:dyDescent="0.25">
      <c r="AU133" s="35"/>
    </row>
    <row r="134" spans="4:61" x14ac:dyDescent="0.25">
      <c r="AU134" s="35"/>
    </row>
    <row r="135" spans="4:61" x14ac:dyDescent="0.25">
      <c r="AU135" s="35"/>
    </row>
    <row r="136" spans="4:61" x14ac:dyDescent="0.25">
      <c r="AU136" s="35"/>
    </row>
    <row r="137" spans="4:61" x14ac:dyDescent="0.25">
      <c r="AU137" s="35"/>
    </row>
    <row r="138" spans="4:61" x14ac:dyDescent="0.25">
      <c r="AU138" s="35"/>
    </row>
    <row r="139" spans="4:61" x14ac:dyDescent="0.25">
      <c r="AU139" s="35"/>
    </row>
    <row r="140" spans="4:61" x14ac:dyDescent="0.25">
      <c r="AU140" s="35"/>
    </row>
    <row r="141" spans="4:61" x14ac:dyDescent="0.25">
      <c r="AU141" s="35"/>
    </row>
    <row r="142" spans="4:61" x14ac:dyDescent="0.25">
      <c r="AU142" s="35"/>
      <c r="BG142" s="38"/>
      <c r="BH142" s="38"/>
      <c r="BI142" s="38"/>
    </row>
    <row r="145" spans="62:69" x14ac:dyDescent="0.25">
      <c r="BJ145" s="38"/>
      <c r="BK145" s="38"/>
    </row>
    <row r="146" spans="62:69" x14ac:dyDescent="0.25">
      <c r="BO146" s="152"/>
      <c r="BP146" s="152"/>
      <c r="BQ146" s="38"/>
    </row>
  </sheetData>
  <mergeCells count="2">
    <mergeCell ref="A79:B79"/>
    <mergeCell ref="BD106:BE106"/>
  </mergeCells>
  <printOptions horizontalCentered="1"/>
  <pageMargins left="0.5" right="0.5" top="1.25" bottom="0.5" header="0.75" footer="0.3"/>
  <pageSetup paperSize="17" scale="70" orientation="portrait" r:id="rId1"/>
  <headerFooter>
    <oddHeader>&amp;C&amp;"Agenda,Regular"&amp;12&amp;K1E384BDENTON COUNTY TRANSPORTATION AUTHORITY
FY21 Proposed Budget
Budget Detail by Department</oddHeader>
  </headerFooter>
  <colBreaks count="3" manualBreakCount="3">
    <brk id="13" max="103" man="1"/>
    <brk id="41" max="103" man="1"/>
    <brk id="57" max="1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D120-3765-413B-9A36-525CA09FD2CC}">
  <dimension ref="A1:BT146"/>
  <sheetViews>
    <sheetView zoomScaleNormal="100" zoomScaleSheetLayoutView="75" workbookViewId="0">
      <pane xSplit="2" ySplit="1" topLeftCell="T2" activePane="bottomRight" state="frozen"/>
      <selection activeCell="G10" sqref="G10"/>
      <selection pane="topRight" activeCell="G10" sqref="G10"/>
      <selection pane="bottomLeft" activeCell="G10" sqref="G10"/>
      <selection pane="bottomRight" activeCell="W1" sqref="W1:W1048576"/>
    </sheetView>
  </sheetViews>
  <sheetFormatPr defaultColWidth="8.6640625" defaultRowHeight="13.2" x14ac:dyDescent="0.25"/>
  <cols>
    <col min="1" max="1" width="9.33203125" style="142" customWidth="1"/>
    <col min="2" max="2" width="33" style="5" customWidth="1"/>
    <col min="3" max="3" width="10.6640625" style="8" customWidth="1"/>
    <col min="4" max="4" width="14.6640625" style="8" customWidth="1"/>
    <col min="5" max="5" width="10.6640625" style="8" customWidth="1"/>
    <col min="6" max="6" width="12.6640625" style="8" customWidth="1"/>
    <col min="7" max="7" width="11.6640625" style="8" customWidth="1"/>
    <col min="8" max="8" width="13.6640625" style="8" customWidth="1"/>
    <col min="9" max="9" width="12.44140625" style="8" customWidth="1"/>
    <col min="10" max="10" width="11.6640625" style="8" customWidth="1"/>
    <col min="11" max="11" width="12.5546875" style="8" customWidth="1"/>
    <col min="12" max="12" width="13.44140625" style="8" customWidth="1"/>
    <col min="13" max="13" width="1.6640625" style="8" customWidth="1"/>
    <col min="14" max="22" width="11.6640625" style="8" customWidth="1"/>
    <col min="23" max="23" width="11.6640625" style="8" hidden="1" customWidth="1"/>
    <col min="24" max="24" width="11.6640625" style="8" customWidth="1"/>
    <col min="25" max="25" width="12.6640625" style="8" customWidth="1"/>
    <col min="26" max="27" width="11.6640625" style="8" customWidth="1"/>
    <col min="28" max="29" width="12.6640625" style="8" customWidth="1"/>
    <col min="30" max="31" width="13" style="8" hidden="1" customWidth="1"/>
    <col min="32" max="33" width="12.6640625" style="8" customWidth="1"/>
    <col min="34" max="35" width="11.33203125" style="8" hidden="1" customWidth="1"/>
    <col min="36" max="41" width="12.6640625" style="8" customWidth="1"/>
    <col min="42" max="47" width="10.6640625" style="8" customWidth="1"/>
    <col min="48" max="49" width="12.44140625" style="8" customWidth="1"/>
    <col min="50" max="50" width="13.6640625" style="8" customWidth="1"/>
    <col min="51" max="51" width="1.6640625" style="8" customWidth="1"/>
    <col min="52" max="52" width="13.6640625" style="8" customWidth="1"/>
    <col min="53" max="53" width="1.6640625" style="8" customWidth="1"/>
    <col min="54" max="54" width="13.6640625" style="8" customWidth="1"/>
    <col min="55" max="55" width="1.6640625" style="8" customWidth="1"/>
    <col min="56" max="57" width="13.44140625" style="124" hidden="1" customWidth="1"/>
    <col min="58" max="58" width="2.33203125" style="8" hidden="1" customWidth="1"/>
    <col min="59" max="59" width="16.33203125" style="5" hidden="1" customWidth="1"/>
    <col min="60" max="60" width="11.44140625" style="5" hidden="1" customWidth="1"/>
    <col min="61" max="61" width="13.6640625" style="5" hidden="1" customWidth="1"/>
    <col min="62" max="62" width="15.6640625" style="5" hidden="1" customWidth="1"/>
    <col min="63" max="63" width="13.6640625" style="5" hidden="1" customWidth="1"/>
    <col min="64" max="64" width="13.6640625" style="8" hidden="1" customWidth="1"/>
    <col min="65" max="66" width="15.33203125" style="8" hidden="1" customWidth="1"/>
    <col min="67" max="67" width="13.33203125" style="143" hidden="1" customWidth="1"/>
    <col min="68" max="68" width="13.6640625" style="143" hidden="1" customWidth="1"/>
    <col min="69" max="69" width="16.6640625" style="5" customWidth="1"/>
    <col min="70" max="70" width="20.44140625" style="5" customWidth="1"/>
    <col min="71" max="71" width="16.33203125" style="5" customWidth="1"/>
    <col min="72" max="72" width="16.6640625" style="5" customWidth="1"/>
    <col min="73" max="16384" width="8.6640625" style="5"/>
  </cols>
  <sheetData>
    <row r="1" spans="1:70" ht="72" x14ac:dyDescent="0.25">
      <c r="A1" s="14" t="s">
        <v>187</v>
      </c>
      <c r="B1" s="119" t="s">
        <v>188</v>
      </c>
      <c r="C1" s="2" t="s">
        <v>262</v>
      </c>
      <c r="D1" s="2" t="s">
        <v>263</v>
      </c>
      <c r="E1" s="2" t="s">
        <v>264</v>
      </c>
      <c r="F1" s="2" t="s">
        <v>265</v>
      </c>
      <c r="G1" s="2" t="s">
        <v>266</v>
      </c>
      <c r="H1" s="2" t="s">
        <v>267</v>
      </c>
      <c r="I1" s="2" t="s">
        <v>268</v>
      </c>
      <c r="J1" s="2" t="s">
        <v>269</v>
      </c>
      <c r="K1" s="2" t="s">
        <v>270</v>
      </c>
      <c r="L1" s="2" t="s">
        <v>271</v>
      </c>
      <c r="M1" s="3"/>
      <c r="N1" s="2" t="s">
        <v>272</v>
      </c>
      <c r="O1" s="2" t="s">
        <v>273</v>
      </c>
      <c r="P1" s="2" t="s">
        <v>274</v>
      </c>
      <c r="Q1" s="2" t="s">
        <v>275</v>
      </c>
      <c r="R1" s="2" t="s">
        <v>276</v>
      </c>
      <c r="S1" s="2" t="s">
        <v>277</v>
      </c>
      <c r="T1" s="2" t="s">
        <v>278</v>
      </c>
      <c r="U1" s="2" t="s">
        <v>279</v>
      </c>
      <c r="V1" s="2" t="s">
        <v>280</v>
      </c>
      <c r="W1" s="2" t="s">
        <v>353</v>
      </c>
      <c r="X1" s="2" t="s">
        <v>354</v>
      </c>
      <c r="Y1" s="2" t="s">
        <v>355</v>
      </c>
      <c r="Z1" s="2" t="s">
        <v>283</v>
      </c>
      <c r="AA1" s="2" t="s">
        <v>284</v>
      </c>
      <c r="AB1" s="2" t="s">
        <v>285</v>
      </c>
      <c r="AC1" s="2" t="s">
        <v>286</v>
      </c>
      <c r="AD1" s="2" t="s">
        <v>287</v>
      </c>
      <c r="AE1" s="2" t="s">
        <v>288</v>
      </c>
      <c r="AF1" s="2" t="s">
        <v>289</v>
      </c>
      <c r="AG1" s="2" t="s">
        <v>290</v>
      </c>
      <c r="AH1" s="2" t="s">
        <v>291</v>
      </c>
      <c r="AI1" s="2" t="s">
        <v>292</v>
      </c>
      <c r="AJ1" s="2" t="s">
        <v>293</v>
      </c>
      <c r="AK1" s="2" t="s">
        <v>294</v>
      </c>
      <c r="AL1" s="2" t="s">
        <v>295</v>
      </c>
      <c r="AM1" s="2" t="s">
        <v>296</v>
      </c>
      <c r="AN1" s="2" t="s">
        <v>297</v>
      </c>
      <c r="AO1" s="2" t="s">
        <v>298</v>
      </c>
      <c r="AP1" s="2" t="s">
        <v>299</v>
      </c>
      <c r="AQ1" s="2" t="s">
        <v>300</v>
      </c>
      <c r="AR1" s="2" t="s">
        <v>301</v>
      </c>
      <c r="AS1" s="2" t="s">
        <v>302</v>
      </c>
      <c r="AT1" s="2" t="s">
        <v>303</v>
      </c>
      <c r="AU1" s="2" t="s">
        <v>304</v>
      </c>
      <c r="AV1" s="2" t="s">
        <v>305</v>
      </c>
      <c r="AW1" s="2" t="s">
        <v>306</v>
      </c>
      <c r="AX1" s="2" t="s">
        <v>356</v>
      </c>
      <c r="AY1" s="3"/>
      <c r="AZ1" s="2" t="s">
        <v>308</v>
      </c>
      <c r="BA1" s="3"/>
      <c r="BB1" s="2" t="s">
        <v>369</v>
      </c>
      <c r="BC1" s="4"/>
      <c r="BD1" s="123" t="s">
        <v>358</v>
      </c>
      <c r="BE1" s="123" t="s">
        <v>359</v>
      </c>
      <c r="BF1" s="4"/>
      <c r="BL1" s="2" t="s">
        <v>360</v>
      </c>
      <c r="BM1" s="2" t="s">
        <v>361</v>
      </c>
      <c r="BN1" s="2" t="s">
        <v>194</v>
      </c>
    </row>
    <row r="2" spans="1:70" x14ac:dyDescent="0.25">
      <c r="A2" s="142">
        <v>40100</v>
      </c>
      <c r="B2" s="35" t="s">
        <v>37</v>
      </c>
      <c r="C2" s="75">
        <v>0</v>
      </c>
      <c r="D2" s="75">
        <v>0</v>
      </c>
      <c r="E2" s="75">
        <v>0</v>
      </c>
      <c r="F2" s="75">
        <v>0</v>
      </c>
      <c r="G2" s="75">
        <v>0</v>
      </c>
      <c r="H2" s="75">
        <v>0</v>
      </c>
      <c r="I2" s="75">
        <v>0</v>
      </c>
      <c r="J2" s="75">
        <v>0</v>
      </c>
      <c r="K2" s="75">
        <v>0</v>
      </c>
      <c r="L2" s="75">
        <f>SUM(C2:K2)</f>
        <v>0</v>
      </c>
      <c r="M2" s="75"/>
      <c r="N2" s="79">
        <v>0</v>
      </c>
      <c r="O2" s="79">
        <v>0</v>
      </c>
      <c r="P2" s="75">
        <v>0</v>
      </c>
      <c r="Q2" s="75">
        <v>0</v>
      </c>
      <c r="R2" s="79">
        <v>6745</v>
      </c>
      <c r="S2" s="79">
        <v>0</v>
      </c>
      <c r="T2" s="75">
        <v>1149</v>
      </c>
      <c r="U2" s="75">
        <v>0</v>
      </c>
      <c r="V2" s="79">
        <v>0</v>
      </c>
      <c r="W2" s="79">
        <v>0</v>
      </c>
      <c r="X2" s="112">
        <v>0</v>
      </c>
      <c r="Y2" s="112">
        <v>0</v>
      </c>
      <c r="Z2" s="79">
        <v>0</v>
      </c>
      <c r="AA2" s="110">
        <v>0</v>
      </c>
      <c r="AB2" s="112">
        <v>204708</v>
      </c>
      <c r="AC2" s="112">
        <v>0</v>
      </c>
      <c r="AD2" s="81">
        <v>0</v>
      </c>
      <c r="AE2" s="81">
        <v>0</v>
      </c>
      <c r="AF2" s="79">
        <v>68124</v>
      </c>
      <c r="AG2" s="114">
        <v>0</v>
      </c>
      <c r="AH2" s="82">
        <v>0</v>
      </c>
      <c r="AI2" s="82">
        <v>0</v>
      </c>
      <c r="AJ2" s="112">
        <v>29814</v>
      </c>
      <c r="AK2" s="112">
        <v>0</v>
      </c>
      <c r="AL2" s="79">
        <v>1398</v>
      </c>
      <c r="AM2" s="79">
        <v>0</v>
      </c>
      <c r="AN2" s="112">
        <v>17210</v>
      </c>
      <c r="AO2" s="116">
        <v>0</v>
      </c>
      <c r="AP2" s="79">
        <v>2564</v>
      </c>
      <c r="AQ2" s="79">
        <v>0</v>
      </c>
      <c r="AR2" s="112">
        <v>0</v>
      </c>
      <c r="AS2" s="112">
        <v>0</v>
      </c>
      <c r="AT2" s="79">
        <v>0</v>
      </c>
      <c r="AU2" s="79">
        <v>0</v>
      </c>
      <c r="AV2" s="112">
        <v>0</v>
      </c>
      <c r="AW2" s="112">
        <v>0</v>
      </c>
      <c r="AX2" s="75">
        <f>SUM(N2:AW2)</f>
        <v>331712</v>
      </c>
      <c r="AY2" s="75"/>
      <c r="AZ2" s="75">
        <v>248579</v>
      </c>
      <c r="BA2" s="75"/>
      <c r="BB2" s="83">
        <f>L2+AX2+AZ2</f>
        <v>580291</v>
      </c>
      <c r="BD2" s="124">
        <f>+AV2+AT2+AR2+AP2+AN2+AL2+AJ2+AH2+AF2+AD2+AB2+AA2+Z2+X2+V2+T2+R2+P2+N2</f>
        <v>331712</v>
      </c>
      <c r="BE2" s="124">
        <f>AW2+AU2+AS2+AQ2+AO2+AM2+AK2+AI2+AG2+AE2+AC2+Y2+U2+S2+Q2+O2</f>
        <v>0</v>
      </c>
      <c r="BL2" s="75"/>
      <c r="BM2" s="75"/>
      <c r="BN2" s="75"/>
    </row>
    <row r="3" spans="1:70" x14ac:dyDescent="0.25">
      <c r="A3" s="142">
        <v>40120</v>
      </c>
      <c r="B3" s="35" t="s">
        <v>38</v>
      </c>
      <c r="C3" s="75">
        <v>0</v>
      </c>
      <c r="D3" s="75">
        <v>0</v>
      </c>
      <c r="E3" s="75">
        <v>0</v>
      </c>
      <c r="F3" s="75">
        <v>0</v>
      </c>
      <c r="G3" s="75">
        <v>0</v>
      </c>
      <c r="H3" s="75">
        <v>0</v>
      </c>
      <c r="I3" s="75">
        <v>0</v>
      </c>
      <c r="J3" s="75">
        <v>0</v>
      </c>
      <c r="K3" s="75">
        <v>0</v>
      </c>
      <c r="L3" s="75">
        <f>SUM(C3:K3)</f>
        <v>0</v>
      </c>
      <c r="M3" s="75"/>
      <c r="N3" s="79">
        <f>2879072+49-49000</f>
        <v>2830121</v>
      </c>
      <c r="O3" s="79">
        <v>0</v>
      </c>
      <c r="P3" s="75">
        <v>0</v>
      </c>
      <c r="Q3" s="75">
        <v>0</v>
      </c>
      <c r="R3" s="79">
        <v>318254</v>
      </c>
      <c r="S3" s="79">
        <v>0</v>
      </c>
      <c r="T3" s="75">
        <f>87027+224358</f>
        <v>311385</v>
      </c>
      <c r="U3" s="75">
        <v>0</v>
      </c>
      <c r="V3" s="79">
        <v>50000</v>
      </c>
      <c r="W3" s="79">
        <v>0</v>
      </c>
      <c r="X3" s="112">
        <v>0</v>
      </c>
      <c r="Y3" s="112">
        <v>0</v>
      </c>
      <c r="Z3" s="79">
        <v>0</v>
      </c>
      <c r="AA3" s="110">
        <v>0</v>
      </c>
      <c r="AB3" s="112">
        <v>28218</v>
      </c>
      <c r="AC3" s="112">
        <v>0</v>
      </c>
      <c r="AD3" s="81">
        <v>0</v>
      </c>
      <c r="AE3" s="81">
        <v>0</v>
      </c>
      <c r="AF3" s="79">
        <v>20782</v>
      </c>
      <c r="AG3" s="114">
        <v>0</v>
      </c>
      <c r="AH3" s="82">
        <v>0</v>
      </c>
      <c r="AI3" s="82">
        <v>0</v>
      </c>
      <c r="AJ3" s="112">
        <v>0</v>
      </c>
      <c r="AK3" s="112">
        <v>0</v>
      </c>
      <c r="AL3" s="79">
        <v>0</v>
      </c>
      <c r="AM3" s="79">
        <v>0</v>
      </c>
      <c r="AN3" s="112">
        <v>0</v>
      </c>
      <c r="AO3" s="116">
        <v>0</v>
      </c>
      <c r="AP3" s="79">
        <v>75000</v>
      </c>
      <c r="AQ3" s="79">
        <v>0</v>
      </c>
      <c r="AR3" s="112">
        <v>0</v>
      </c>
      <c r="AS3" s="112">
        <v>0</v>
      </c>
      <c r="AT3" s="79">
        <v>0</v>
      </c>
      <c r="AU3" s="79">
        <v>0</v>
      </c>
      <c r="AV3" s="112">
        <v>0</v>
      </c>
      <c r="AW3" s="112">
        <v>0</v>
      </c>
      <c r="AX3" s="75">
        <f>SUM(N3:AW3)</f>
        <v>3633760</v>
      </c>
      <c r="AY3" s="75"/>
      <c r="AZ3" s="75">
        <v>0</v>
      </c>
      <c r="BA3" s="75"/>
      <c r="BB3" s="83">
        <f>L3+AX3+AZ3</f>
        <v>3633760</v>
      </c>
      <c r="BD3" s="124">
        <f>+AV3+AT3+AR3+AP3+AN3+AL3+AJ3+AH3+AF3+AD3+AB3+AA3+Z3+X3+V3+T3+R3+P3+N3</f>
        <v>3633760</v>
      </c>
      <c r="BE3" s="124">
        <f>AW3+AU3+AS3+AQ3+AO3+AM3+AK3+AI3+AG3+AE3+AC3+Y3+U3+S3+Q3+O3</f>
        <v>0</v>
      </c>
      <c r="BL3" s="75"/>
      <c r="BM3" s="75"/>
      <c r="BN3" s="75"/>
    </row>
    <row r="4" spans="1:70" x14ac:dyDescent="0.25">
      <c r="B4" s="142"/>
      <c r="C4" s="84"/>
      <c r="D4" s="84"/>
      <c r="E4" s="84"/>
      <c r="F4" s="84"/>
      <c r="G4" s="84"/>
      <c r="H4" s="84"/>
      <c r="I4" s="84"/>
      <c r="J4" s="84"/>
      <c r="K4" s="84"/>
      <c r="L4" s="84"/>
      <c r="M4" s="75"/>
      <c r="N4" s="85"/>
      <c r="O4" s="85"/>
      <c r="P4" s="84"/>
      <c r="Q4" s="84"/>
      <c r="R4" s="85"/>
      <c r="S4" s="85"/>
      <c r="T4" s="84"/>
      <c r="U4" s="84"/>
      <c r="V4" s="85"/>
      <c r="W4" s="85"/>
      <c r="X4" s="113"/>
      <c r="Y4" s="113"/>
      <c r="Z4" s="85"/>
      <c r="AA4" s="111"/>
      <c r="AB4" s="113"/>
      <c r="AC4" s="113"/>
      <c r="AD4" s="86"/>
      <c r="AE4" s="86"/>
      <c r="AF4" s="85"/>
      <c r="AG4" s="115"/>
      <c r="AH4" s="87"/>
      <c r="AI4" s="87"/>
      <c r="AJ4" s="113"/>
      <c r="AK4" s="113"/>
      <c r="AL4" s="85"/>
      <c r="AM4" s="85"/>
      <c r="AN4" s="113"/>
      <c r="AO4" s="117"/>
      <c r="AP4" s="85"/>
      <c r="AQ4" s="85"/>
      <c r="AR4" s="113"/>
      <c r="AS4" s="113"/>
      <c r="AT4" s="85"/>
      <c r="AU4" s="85"/>
      <c r="AV4" s="113"/>
      <c r="AW4" s="113"/>
      <c r="AX4" s="84"/>
      <c r="AY4" s="75"/>
      <c r="AZ4" s="84"/>
      <c r="BA4" s="75"/>
      <c r="BB4" s="88"/>
      <c r="BD4" s="125"/>
      <c r="BE4" s="125"/>
      <c r="BL4" s="84"/>
      <c r="BM4" s="84"/>
      <c r="BN4" s="84"/>
    </row>
    <row r="5" spans="1:70" s="13" customFormat="1" x14ac:dyDescent="0.25">
      <c r="A5" s="10"/>
      <c r="B5" s="120" t="s">
        <v>39</v>
      </c>
      <c r="C5" s="76">
        <f>SUM(C2:C4)</f>
        <v>0</v>
      </c>
      <c r="D5" s="76">
        <f>SUM(D2:D4)</f>
        <v>0</v>
      </c>
      <c r="E5" s="76">
        <f>SUM(E2:E4)</f>
        <v>0</v>
      </c>
      <c r="F5" s="76">
        <f t="shared" ref="F5:AZ5" si="0">SUM(F2:F4)</f>
        <v>0</v>
      </c>
      <c r="G5" s="76">
        <f t="shared" si="0"/>
        <v>0</v>
      </c>
      <c r="H5" s="76">
        <f t="shared" si="0"/>
        <v>0</v>
      </c>
      <c r="I5" s="76">
        <f t="shared" si="0"/>
        <v>0</v>
      </c>
      <c r="J5" s="76">
        <f t="shared" si="0"/>
        <v>0</v>
      </c>
      <c r="K5" s="76">
        <f t="shared" si="0"/>
        <v>0</v>
      </c>
      <c r="L5" s="76">
        <f t="shared" si="0"/>
        <v>0</v>
      </c>
      <c r="M5" s="89"/>
      <c r="N5" s="76">
        <f>SUM(N2:N4)</f>
        <v>2830121</v>
      </c>
      <c r="O5" s="76"/>
      <c r="P5" s="76">
        <f>SUM(P2:P4)</f>
        <v>0</v>
      </c>
      <c r="Q5" s="76"/>
      <c r="R5" s="76">
        <f t="shared" si="0"/>
        <v>324999</v>
      </c>
      <c r="S5" s="76"/>
      <c r="T5" s="76">
        <f t="shared" si="0"/>
        <v>312534</v>
      </c>
      <c r="U5" s="76"/>
      <c r="V5" s="76">
        <f t="shared" si="0"/>
        <v>50000</v>
      </c>
      <c r="W5" s="76">
        <f t="shared" si="0"/>
        <v>0</v>
      </c>
      <c r="X5" s="76">
        <f t="shared" si="0"/>
        <v>0</v>
      </c>
      <c r="Y5" s="76"/>
      <c r="Z5" s="76">
        <f t="shared" si="0"/>
        <v>0</v>
      </c>
      <c r="AA5" s="90">
        <f t="shared" si="0"/>
        <v>0</v>
      </c>
      <c r="AB5" s="76">
        <f t="shared" si="0"/>
        <v>232926</v>
      </c>
      <c r="AC5" s="76"/>
      <c r="AD5" s="76">
        <f t="shared" si="0"/>
        <v>0</v>
      </c>
      <c r="AE5" s="76"/>
      <c r="AF5" s="76">
        <f t="shared" si="0"/>
        <v>88906</v>
      </c>
      <c r="AG5" s="91">
        <f t="shared" si="0"/>
        <v>0</v>
      </c>
      <c r="AH5" s="76">
        <f t="shared" si="0"/>
        <v>0</v>
      </c>
      <c r="AI5" s="76"/>
      <c r="AJ5" s="76">
        <f t="shared" si="0"/>
        <v>29814</v>
      </c>
      <c r="AK5" s="76"/>
      <c r="AL5" s="76">
        <f t="shared" si="0"/>
        <v>1398</v>
      </c>
      <c r="AM5" s="76"/>
      <c r="AN5" s="76">
        <f t="shared" si="0"/>
        <v>17210</v>
      </c>
      <c r="AO5" s="91"/>
      <c r="AP5" s="76">
        <f t="shared" si="0"/>
        <v>77564</v>
      </c>
      <c r="AQ5" s="76"/>
      <c r="AR5" s="76">
        <f t="shared" si="0"/>
        <v>0</v>
      </c>
      <c r="AS5" s="76"/>
      <c r="AT5" s="76">
        <f t="shared" si="0"/>
        <v>0</v>
      </c>
      <c r="AU5" s="76"/>
      <c r="AV5" s="76">
        <f t="shared" si="0"/>
        <v>0</v>
      </c>
      <c r="AW5" s="76"/>
      <c r="AX5" s="76">
        <f t="shared" si="0"/>
        <v>3965472</v>
      </c>
      <c r="AY5" s="89"/>
      <c r="AZ5" s="76">
        <f t="shared" si="0"/>
        <v>248579</v>
      </c>
      <c r="BA5" s="89"/>
      <c r="BB5" s="76">
        <f>SUM(BB2:BB4)</f>
        <v>4214051</v>
      </c>
      <c r="BC5" s="12">
        <f>SUM(D5:K5)+AY5+BA5</f>
        <v>0</v>
      </c>
      <c r="BD5" s="11">
        <f>SUM(BD2:BD4)</f>
        <v>3965472</v>
      </c>
      <c r="BE5" s="11">
        <f>SUM(BE2:BE4)</f>
        <v>0</v>
      </c>
      <c r="BF5" s="12"/>
      <c r="BL5" s="76"/>
      <c r="BM5" s="76"/>
      <c r="BN5" s="76"/>
      <c r="BO5" s="144"/>
      <c r="BP5" s="144"/>
    </row>
    <row r="6" spans="1:70" x14ac:dyDescent="0.25"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92"/>
      <c r="AB6" s="75"/>
      <c r="AC6" s="75"/>
      <c r="AD6" s="75"/>
      <c r="AE6" s="75"/>
      <c r="AF6" s="75"/>
      <c r="AG6" s="93"/>
      <c r="AH6" s="75"/>
      <c r="AI6" s="75"/>
      <c r="AJ6" s="75"/>
      <c r="AK6" s="75"/>
      <c r="AL6" s="75"/>
      <c r="AM6" s="75"/>
      <c r="AN6" s="75"/>
      <c r="AO6" s="93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83"/>
      <c r="BL6" s="75"/>
      <c r="BM6" s="75"/>
      <c r="BN6" s="75"/>
    </row>
    <row r="7" spans="1:70" s="16" customFormat="1" x14ac:dyDescent="0.25">
      <c r="A7" s="1" t="s">
        <v>40</v>
      </c>
      <c r="B7" s="14"/>
      <c r="C7" s="77"/>
      <c r="D7" s="77"/>
      <c r="E7" s="77"/>
      <c r="F7" s="77"/>
      <c r="G7" s="77"/>
      <c r="H7" s="77"/>
      <c r="I7" s="77"/>
      <c r="J7" s="77"/>
      <c r="K7" s="77"/>
      <c r="L7" s="77"/>
      <c r="M7" s="9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95"/>
      <c r="AB7" s="77"/>
      <c r="AC7" s="77"/>
      <c r="AD7" s="77"/>
      <c r="AE7" s="77"/>
      <c r="AF7" s="77"/>
      <c r="AG7" s="96"/>
      <c r="AH7" s="77"/>
      <c r="AI7" s="77"/>
      <c r="AJ7" s="77"/>
      <c r="AK7" s="77"/>
      <c r="AL7" s="77"/>
      <c r="AM7" s="77"/>
      <c r="AN7" s="77"/>
      <c r="AO7" s="96"/>
      <c r="AP7" s="77"/>
      <c r="AQ7" s="77"/>
      <c r="AR7" s="77"/>
      <c r="AS7" s="77"/>
      <c r="AT7" s="77"/>
      <c r="AU7" s="77"/>
      <c r="AV7" s="77"/>
      <c r="AW7" s="77"/>
      <c r="AX7" s="77"/>
      <c r="AY7" s="94"/>
      <c r="AZ7" s="77"/>
      <c r="BA7" s="94"/>
      <c r="BB7" s="77"/>
      <c r="BC7" s="15"/>
      <c r="BD7" s="126"/>
      <c r="BE7" s="126"/>
      <c r="BF7" s="15"/>
      <c r="BL7" s="77"/>
      <c r="BM7" s="77"/>
      <c r="BN7" s="77"/>
      <c r="BO7" s="145" t="s">
        <v>195</v>
      </c>
      <c r="BP7" s="145" t="s">
        <v>196</v>
      </c>
    </row>
    <row r="8" spans="1:70" x14ac:dyDescent="0.25">
      <c r="A8" s="142">
        <v>50110</v>
      </c>
      <c r="B8" s="35" t="s">
        <v>183</v>
      </c>
      <c r="C8" s="75">
        <v>275000</v>
      </c>
      <c r="D8" s="75">
        <f>94752+1951</f>
        <v>96703</v>
      </c>
      <c r="E8" s="75">
        <v>0</v>
      </c>
      <c r="F8" s="75">
        <f>939168+15111</f>
        <v>954279</v>
      </c>
      <c r="G8" s="75">
        <f>367812+9522</f>
        <v>377334</v>
      </c>
      <c r="H8" s="75">
        <f>251148+5171</f>
        <v>256319</v>
      </c>
      <c r="I8" s="75">
        <f>387084+8162</f>
        <v>395246</v>
      </c>
      <c r="J8" s="75">
        <f>106200+2869</f>
        <v>109069</v>
      </c>
      <c r="K8" s="75">
        <f>217716+6308</f>
        <v>224024</v>
      </c>
      <c r="L8" s="75">
        <f>+SUM(C8:K8)</f>
        <v>2687974</v>
      </c>
      <c r="M8" s="75"/>
      <c r="N8" s="79">
        <v>0</v>
      </c>
      <c r="O8" s="79">
        <v>765320</v>
      </c>
      <c r="P8" s="75">
        <v>0</v>
      </c>
      <c r="Q8" s="75">
        <v>0</v>
      </c>
      <c r="R8" s="79">
        <v>0</v>
      </c>
      <c r="S8" s="79">
        <v>79673</v>
      </c>
      <c r="T8" s="75">
        <v>0</v>
      </c>
      <c r="U8" s="75">
        <f>9580-4509</f>
        <v>5071</v>
      </c>
      <c r="V8" s="79">
        <v>0</v>
      </c>
      <c r="W8" s="79">
        <v>0</v>
      </c>
      <c r="X8" s="112">
        <v>0</v>
      </c>
      <c r="Y8" s="112">
        <f>189816+4471</f>
        <v>194287</v>
      </c>
      <c r="Z8" s="79">
        <f>273660+7858</f>
        <v>281518</v>
      </c>
      <c r="AA8" s="80">
        <v>0</v>
      </c>
      <c r="AB8" s="112">
        <v>0</v>
      </c>
      <c r="AC8" s="112">
        <v>839206</v>
      </c>
      <c r="AD8" s="81">
        <v>0</v>
      </c>
      <c r="AE8" s="81">
        <v>0</v>
      </c>
      <c r="AF8" s="79">
        <v>0</v>
      </c>
      <c r="AG8" s="114">
        <v>535230</v>
      </c>
      <c r="AH8" s="82">
        <v>0</v>
      </c>
      <c r="AI8" s="82">
        <v>0</v>
      </c>
      <c r="AJ8" s="112">
        <v>0</v>
      </c>
      <c r="AK8" s="112">
        <v>180872</v>
      </c>
      <c r="AL8" s="79">
        <v>0</v>
      </c>
      <c r="AM8" s="79">
        <v>20149</v>
      </c>
      <c r="AN8" s="112">
        <v>0</v>
      </c>
      <c r="AO8" s="116">
        <v>178406</v>
      </c>
      <c r="AP8" s="79">
        <v>0</v>
      </c>
      <c r="AQ8" s="79">
        <v>80896</v>
      </c>
      <c r="AR8" s="112">
        <v>0</v>
      </c>
      <c r="AS8" s="112">
        <f>359712+3482</f>
        <v>363194</v>
      </c>
      <c r="AT8" s="79">
        <v>0</v>
      </c>
      <c r="AU8" s="79">
        <f>598176+68019+7541</f>
        <v>673736</v>
      </c>
      <c r="AV8" s="112">
        <v>0</v>
      </c>
      <c r="AW8" s="112">
        <f>720599+85252+161952</f>
        <v>967803</v>
      </c>
      <c r="AX8" s="75">
        <f t="shared" ref="AX8:AX21" si="1">SUM(N8:AW8)</f>
        <v>5165361</v>
      </c>
      <c r="AY8" s="75"/>
      <c r="AZ8" s="75">
        <f>218928+4508</f>
        <v>223436</v>
      </c>
      <c r="BA8" s="75"/>
      <c r="BB8" s="83">
        <f t="shared" ref="BB8:BB21" si="2">L8+AX8+AZ8</f>
        <v>8076771</v>
      </c>
      <c r="BD8" s="124">
        <f t="shared" ref="BD8:BD21" si="3">+AV8+AT8+AR8+AP8+AN8+AL8+AJ8+AH8+AF8+AD8+AB8+AA8+Z8+X8+V8+T8+R8+P8+N8</f>
        <v>281518</v>
      </c>
      <c r="BE8" s="124">
        <f t="shared" ref="BE8:BE21" si="4">AW8+AU8+AS8+AQ8+AO8+AM8+AK8+AI8+AG8+AE8+AC8+Y8+U8+S8+Q8+O8</f>
        <v>4883843</v>
      </c>
      <c r="BG8" s="17"/>
      <c r="BH8" s="17"/>
      <c r="BI8" s="17" t="s">
        <v>189</v>
      </c>
      <c r="BJ8" s="17"/>
      <c r="BK8" s="17"/>
      <c r="BL8" s="112">
        <v>273660</v>
      </c>
      <c r="BM8" s="75">
        <f>AX8-BL8</f>
        <v>4891701</v>
      </c>
      <c r="BN8" s="75">
        <f>((BM8*(1+BO8))+((BL8*(1+BP8))))</f>
        <v>5369238.8399999999</v>
      </c>
      <c r="BO8" s="143">
        <v>0.04</v>
      </c>
      <c r="BP8" s="143">
        <v>0.03</v>
      </c>
      <c r="BQ8" s="17"/>
      <c r="BR8" s="17"/>
    </row>
    <row r="9" spans="1:70" x14ac:dyDescent="0.25">
      <c r="A9" s="142">
        <v>50120</v>
      </c>
      <c r="B9" s="35" t="s">
        <v>184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f t="shared" ref="L9:L21" si="5">+SUM(C9:K9)</f>
        <v>0</v>
      </c>
      <c r="M9" s="75"/>
      <c r="N9" s="79">
        <v>0</v>
      </c>
      <c r="O9" s="79">
        <v>76533</v>
      </c>
      <c r="P9" s="75">
        <v>0</v>
      </c>
      <c r="Q9" s="75">
        <v>0</v>
      </c>
      <c r="R9" s="79">
        <v>0</v>
      </c>
      <c r="S9" s="79">
        <v>7967</v>
      </c>
      <c r="T9" s="75">
        <v>0</v>
      </c>
      <c r="U9" s="75">
        <f>958-552</f>
        <v>406</v>
      </c>
      <c r="V9" s="79">
        <v>0</v>
      </c>
      <c r="W9" s="79">
        <v>0</v>
      </c>
      <c r="X9" s="112">
        <v>0</v>
      </c>
      <c r="Y9" s="112">
        <v>3156</v>
      </c>
      <c r="Z9" s="79">
        <v>0</v>
      </c>
      <c r="AA9" s="80">
        <v>0</v>
      </c>
      <c r="AB9" s="112">
        <v>0</v>
      </c>
      <c r="AC9" s="112">
        <v>83922</v>
      </c>
      <c r="AD9" s="81">
        <v>0</v>
      </c>
      <c r="AE9" s="81">
        <v>0</v>
      </c>
      <c r="AF9" s="79">
        <v>0</v>
      </c>
      <c r="AG9" s="114">
        <v>53524</v>
      </c>
      <c r="AH9" s="82">
        <v>0</v>
      </c>
      <c r="AI9" s="82">
        <v>0</v>
      </c>
      <c r="AJ9" s="112">
        <v>0</v>
      </c>
      <c r="AK9" s="112">
        <v>18089</v>
      </c>
      <c r="AL9" s="79">
        <v>0</v>
      </c>
      <c r="AM9" s="79">
        <v>2014</v>
      </c>
      <c r="AN9" s="112">
        <v>0</v>
      </c>
      <c r="AO9" s="116">
        <v>17840</v>
      </c>
      <c r="AP9" s="79">
        <v>0</v>
      </c>
      <c r="AQ9" s="79">
        <v>8089</v>
      </c>
      <c r="AR9" s="112">
        <v>0</v>
      </c>
      <c r="AS9" s="112">
        <v>24372</v>
      </c>
      <c r="AT9" s="79">
        <v>0</v>
      </c>
      <c r="AU9" s="79">
        <f>38316+1938</f>
        <v>40254</v>
      </c>
      <c r="AV9" s="112">
        <v>0</v>
      </c>
      <c r="AW9" s="112">
        <f>52452+248+11844</f>
        <v>64544</v>
      </c>
      <c r="AX9" s="75">
        <f t="shared" si="1"/>
        <v>400710</v>
      </c>
      <c r="AY9" s="75"/>
      <c r="AZ9" s="75">
        <v>0</v>
      </c>
      <c r="BA9" s="75"/>
      <c r="BB9" s="83">
        <f t="shared" si="2"/>
        <v>400710</v>
      </c>
      <c r="BD9" s="124">
        <f t="shared" si="3"/>
        <v>0</v>
      </c>
      <c r="BE9" s="124">
        <f t="shared" si="4"/>
        <v>400710</v>
      </c>
      <c r="BG9" s="17"/>
      <c r="BH9" s="17"/>
      <c r="BI9" s="131">
        <v>120.50309</v>
      </c>
      <c r="BJ9" s="17" t="s">
        <v>190</v>
      </c>
      <c r="BK9" s="17">
        <v>30600</v>
      </c>
      <c r="BL9" s="112">
        <v>0</v>
      </c>
      <c r="BM9" s="75">
        <f t="shared" ref="BM9:BM21" si="6">AX9-BL9</f>
        <v>400710</v>
      </c>
      <c r="BN9" s="75">
        <f t="shared" ref="BN9:BN21" si="7">((BM9*(1+BO9))+((BL9*(1+BP9))))</f>
        <v>416738.4</v>
      </c>
      <c r="BO9" s="143">
        <v>0.04</v>
      </c>
      <c r="BP9" s="143">
        <v>0.03</v>
      </c>
      <c r="BQ9" s="17"/>
      <c r="BR9" s="17"/>
    </row>
    <row r="10" spans="1:70" hidden="1" x14ac:dyDescent="0.25">
      <c r="A10" s="142">
        <v>50130</v>
      </c>
      <c r="B10" s="35" t="s">
        <v>41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f t="shared" si="5"/>
        <v>0</v>
      </c>
      <c r="M10" s="75"/>
      <c r="N10" s="79">
        <v>0</v>
      </c>
      <c r="O10" s="79">
        <v>0</v>
      </c>
      <c r="P10" s="75">
        <v>0</v>
      </c>
      <c r="Q10" s="75">
        <v>0</v>
      </c>
      <c r="R10" s="79">
        <v>0</v>
      </c>
      <c r="S10" s="79">
        <v>0</v>
      </c>
      <c r="T10" s="75">
        <v>0</v>
      </c>
      <c r="U10" s="75">
        <v>0</v>
      </c>
      <c r="V10" s="79">
        <v>0</v>
      </c>
      <c r="W10" s="79"/>
      <c r="X10" s="112">
        <v>0</v>
      </c>
      <c r="Y10" s="112">
        <v>0</v>
      </c>
      <c r="Z10" s="79">
        <v>0</v>
      </c>
      <c r="AA10" s="80">
        <v>0</v>
      </c>
      <c r="AB10" s="112">
        <v>0</v>
      </c>
      <c r="AC10" s="112">
        <v>0</v>
      </c>
      <c r="AD10" s="81">
        <v>0</v>
      </c>
      <c r="AE10" s="81">
        <v>0</v>
      </c>
      <c r="AF10" s="79">
        <v>0</v>
      </c>
      <c r="AG10" s="114">
        <v>0</v>
      </c>
      <c r="AH10" s="82">
        <v>0</v>
      </c>
      <c r="AI10" s="82">
        <v>0</v>
      </c>
      <c r="AJ10" s="112">
        <v>0</v>
      </c>
      <c r="AK10" s="112">
        <v>0</v>
      </c>
      <c r="AL10" s="79">
        <v>0</v>
      </c>
      <c r="AM10" s="79">
        <v>0</v>
      </c>
      <c r="AN10" s="112">
        <v>0</v>
      </c>
      <c r="AO10" s="116">
        <v>0</v>
      </c>
      <c r="AP10" s="79">
        <v>0</v>
      </c>
      <c r="AQ10" s="79">
        <v>0</v>
      </c>
      <c r="AR10" s="112">
        <v>0</v>
      </c>
      <c r="AS10" s="112">
        <v>0</v>
      </c>
      <c r="AT10" s="79">
        <v>0</v>
      </c>
      <c r="AU10" s="79">
        <v>0</v>
      </c>
      <c r="AV10" s="112">
        <v>0</v>
      </c>
      <c r="AW10" s="112">
        <v>0</v>
      </c>
      <c r="AX10" s="75">
        <f t="shared" si="1"/>
        <v>0</v>
      </c>
      <c r="AY10" s="75"/>
      <c r="AZ10" s="75">
        <v>0</v>
      </c>
      <c r="BA10" s="75"/>
      <c r="BB10" s="83">
        <f t="shared" si="2"/>
        <v>0</v>
      </c>
      <c r="BD10" s="124">
        <f t="shared" si="3"/>
        <v>0</v>
      </c>
      <c r="BE10" s="124">
        <f t="shared" si="4"/>
        <v>0</v>
      </c>
      <c r="BI10" s="131"/>
      <c r="BJ10" s="17"/>
      <c r="BK10" s="17"/>
      <c r="BL10" s="112">
        <v>0</v>
      </c>
      <c r="BM10" s="75">
        <f t="shared" si="6"/>
        <v>0</v>
      </c>
      <c r="BN10" s="75">
        <f t="shared" si="7"/>
        <v>0</v>
      </c>
      <c r="BO10" s="143">
        <v>0.04</v>
      </c>
      <c r="BQ10" s="17"/>
      <c r="BR10" s="17"/>
    </row>
    <row r="11" spans="1:70" x14ac:dyDescent="0.25">
      <c r="A11" s="142">
        <v>50160</v>
      </c>
      <c r="B11" s="35" t="s">
        <v>42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f t="shared" si="5"/>
        <v>0</v>
      </c>
      <c r="M11" s="75"/>
      <c r="N11" s="79">
        <v>0</v>
      </c>
      <c r="O11" s="79">
        <v>53670</v>
      </c>
      <c r="P11" s="75">
        <v>0</v>
      </c>
      <c r="Q11" s="75">
        <v>0</v>
      </c>
      <c r="R11" s="79">
        <v>0</v>
      </c>
      <c r="S11" s="79">
        <v>5587</v>
      </c>
      <c r="T11" s="75">
        <v>0</v>
      </c>
      <c r="U11" s="75">
        <f>672-316</f>
        <v>356</v>
      </c>
      <c r="V11" s="79">
        <v>0</v>
      </c>
      <c r="W11" s="79">
        <v>0</v>
      </c>
      <c r="X11" s="112">
        <v>0</v>
      </c>
      <c r="Y11" s="112">
        <v>0</v>
      </c>
      <c r="Z11" s="79">
        <v>0</v>
      </c>
      <c r="AA11" s="80">
        <v>0</v>
      </c>
      <c r="AB11" s="112">
        <v>0</v>
      </c>
      <c r="AC11" s="112">
        <v>60270</v>
      </c>
      <c r="AD11" s="81">
        <v>0</v>
      </c>
      <c r="AE11" s="81">
        <v>0</v>
      </c>
      <c r="AF11" s="79">
        <v>0</v>
      </c>
      <c r="AG11" s="114">
        <v>38748</v>
      </c>
      <c r="AH11" s="82">
        <v>0</v>
      </c>
      <c r="AI11" s="82">
        <v>0</v>
      </c>
      <c r="AJ11" s="112">
        <v>0</v>
      </c>
      <c r="AK11" s="112">
        <v>13096</v>
      </c>
      <c r="AL11" s="79">
        <v>0</v>
      </c>
      <c r="AM11" s="79">
        <v>1458</v>
      </c>
      <c r="AN11" s="112">
        <v>0</v>
      </c>
      <c r="AO11" s="116">
        <v>12914</v>
      </c>
      <c r="AP11" s="79">
        <v>0</v>
      </c>
      <c r="AQ11" s="79">
        <v>5856</v>
      </c>
      <c r="AR11" s="112">
        <v>0</v>
      </c>
      <c r="AS11" s="112">
        <v>0</v>
      </c>
      <c r="AT11" s="79">
        <v>0</v>
      </c>
      <c r="AU11" s="79">
        <v>0</v>
      </c>
      <c r="AV11" s="112">
        <v>0</v>
      </c>
      <c r="AW11" s="112">
        <v>0</v>
      </c>
      <c r="AX11" s="75">
        <f t="shared" si="1"/>
        <v>191955</v>
      </c>
      <c r="AY11" s="75"/>
      <c r="AZ11" s="75">
        <v>0</v>
      </c>
      <c r="BA11" s="75"/>
      <c r="BB11" s="83">
        <f t="shared" si="2"/>
        <v>191955</v>
      </c>
      <c r="BD11" s="124">
        <f t="shared" si="3"/>
        <v>0</v>
      </c>
      <c r="BE11" s="124">
        <f t="shared" si="4"/>
        <v>191955</v>
      </c>
      <c r="BG11" s="18"/>
      <c r="BH11" s="18"/>
      <c r="BI11" s="132"/>
      <c r="BJ11" s="17"/>
      <c r="BK11" s="17"/>
      <c r="BL11" s="112">
        <v>0</v>
      </c>
      <c r="BM11" s="75">
        <f t="shared" si="6"/>
        <v>191955</v>
      </c>
      <c r="BN11" s="75">
        <f t="shared" si="7"/>
        <v>199633.2</v>
      </c>
      <c r="BO11" s="143">
        <v>0.04</v>
      </c>
      <c r="BP11" s="143">
        <v>0.03</v>
      </c>
      <c r="BQ11" s="17"/>
      <c r="BR11" s="17"/>
    </row>
    <row r="12" spans="1:70" x14ac:dyDescent="0.25">
      <c r="A12" s="142">
        <v>50205</v>
      </c>
      <c r="B12" s="35" t="s">
        <v>43</v>
      </c>
      <c r="C12" s="75">
        <v>21041</v>
      </c>
      <c r="D12" s="75">
        <f>7248+164</f>
        <v>7412</v>
      </c>
      <c r="E12" s="75">
        <v>0</v>
      </c>
      <c r="F12" s="75">
        <f>71844+1269</f>
        <v>73113</v>
      </c>
      <c r="G12" s="75">
        <f>28128+800</f>
        <v>28928</v>
      </c>
      <c r="H12" s="75">
        <f>19212+434</f>
        <v>19646</v>
      </c>
      <c r="I12" s="75">
        <f>29616+686</f>
        <v>30302</v>
      </c>
      <c r="J12" s="75">
        <f>9542+241</f>
        <v>9783</v>
      </c>
      <c r="K12" s="75">
        <f>16656+530</f>
        <v>17186</v>
      </c>
      <c r="L12" s="75">
        <f t="shared" si="5"/>
        <v>207411</v>
      </c>
      <c r="M12" s="75"/>
      <c r="N12" s="79">
        <v>0</v>
      </c>
      <c r="O12" s="79">
        <v>70877</v>
      </c>
      <c r="P12" s="75">
        <v>0</v>
      </c>
      <c r="Q12" s="75">
        <v>0</v>
      </c>
      <c r="R12" s="79">
        <v>0</v>
      </c>
      <c r="S12" s="79">
        <v>7379</v>
      </c>
      <c r="T12" s="75">
        <v>0</v>
      </c>
      <c r="U12" s="75">
        <f>887-417</f>
        <v>470</v>
      </c>
      <c r="V12" s="79">
        <v>0</v>
      </c>
      <c r="W12" s="79">
        <v>0</v>
      </c>
      <c r="X12" s="112">
        <v>0</v>
      </c>
      <c r="Y12" s="112">
        <f>14760+504</f>
        <v>15264</v>
      </c>
      <c r="Z12" s="79">
        <f>20940+660</f>
        <v>21600</v>
      </c>
      <c r="AA12" s="80">
        <v>0</v>
      </c>
      <c r="AB12" s="112">
        <v>0</v>
      </c>
      <c r="AC12" s="112">
        <v>79574</v>
      </c>
      <c r="AD12" s="81">
        <v>0</v>
      </c>
      <c r="AE12" s="81">
        <v>0</v>
      </c>
      <c r="AF12" s="79">
        <v>0</v>
      </c>
      <c r="AG12" s="114">
        <v>51176</v>
      </c>
      <c r="AH12" s="82">
        <v>0</v>
      </c>
      <c r="AI12" s="82">
        <v>0</v>
      </c>
      <c r="AJ12" s="112">
        <v>0</v>
      </c>
      <c r="AK12" s="112">
        <v>17294</v>
      </c>
      <c r="AL12" s="79">
        <v>0</v>
      </c>
      <c r="AM12" s="79">
        <v>1925</v>
      </c>
      <c r="AN12" s="112">
        <v>0</v>
      </c>
      <c r="AO12" s="116">
        <v>17058</v>
      </c>
      <c r="AP12" s="79">
        <v>0</v>
      </c>
      <c r="AQ12" s="79">
        <v>7736</v>
      </c>
      <c r="AR12" s="112">
        <v>0</v>
      </c>
      <c r="AS12" s="112">
        <f>29376+393</f>
        <v>29769</v>
      </c>
      <c r="AT12" s="79">
        <v>0</v>
      </c>
      <c r="AU12" s="79">
        <f>48696+5491+851</f>
        <v>55038</v>
      </c>
      <c r="AV12" s="112">
        <v>0</v>
      </c>
      <c r="AW12" s="112">
        <f>59136+6754+1568</f>
        <v>67458</v>
      </c>
      <c r="AX12" s="75">
        <f t="shared" si="1"/>
        <v>442618</v>
      </c>
      <c r="AY12" s="75"/>
      <c r="AZ12" s="75">
        <f>16752+379</f>
        <v>17131</v>
      </c>
      <c r="BA12" s="75"/>
      <c r="BB12" s="83">
        <f t="shared" si="2"/>
        <v>667160</v>
      </c>
      <c r="BD12" s="124">
        <f t="shared" si="3"/>
        <v>21600</v>
      </c>
      <c r="BE12" s="124">
        <f t="shared" si="4"/>
        <v>421018</v>
      </c>
      <c r="BI12" s="131"/>
      <c r="BJ12" s="17"/>
      <c r="BK12" s="17"/>
      <c r="BL12" s="112">
        <v>20940</v>
      </c>
      <c r="BM12" s="75">
        <f t="shared" si="6"/>
        <v>421678</v>
      </c>
      <c r="BN12" s="75">
        <f>SUM(BN8:BN11)*BP12</f>
        <v>457899.19865999999</v>
      </c>
      <c r="BO12" s="153">
        <v>7.6499999999999999E-2</v>
      </c>
      <c r="BP12" s="153">
        <v>7.6499999999999999E-2</v>
      </c>
      <c r="BQ12" s="17"/>
      <c r="BR12" s="17"/>
    </row>
    <row r="13" spans="1:70" x14ac:dyDescent="0.25">
      <c r="A13" s="142">
        <v>50210</v>
      </c>
      <c r="B13" s="35" t="s">
        <v>44</v>
      </c>
      <c r="C13" s="75">
        <v>17168</v>
      </c>
      <c r="D13" s="75">
        <f>5913+122</f>
        <v>6035</v>
      </c>
      <c r="E13" s="75">
        <v>0</v>
      </c>
      <c r="F13" s="75">
        <f>58605+939</f>
        <v>59544</v>
      </c>
      <c r="G13" s="75">
        <f>22956+593</f>
        <v>23549</v>
      </c>
      <c r="H13" s="75">
        <f>15672+322</f>
        <v>15994</v>
      </c>
      <c r="I13" s="75">
        <f>24159+508</f>
        <v>24667</v>
      </c>
      <c r="J13" s="75">
        <f>5336+179</f>
        <v>5515</v>
      </c>
      <c r="K13" s="75">
        <f>13584+393</f>
        <v>13977</v>
      </c>
      <c r="L13" s="75">
        <f t="shared" si="5"/>
        <v>166449</v>
      </c>
      <c r="M13" s="75"/>
      <c r="N13" s="79">
        <v>0</v>
      </c>
      <c r="O13" s="79">
        <v>0</v>
      </c>
      <c r="P13" s="75">
        <v>0</v>
      </c>
      <c r="Q13" s="75">
        <v>0</v>
      </c>
      <c r="R13" s="79">
        <v>0</v>
      </c>
      <c r="S13" s="79">
        <v>0</v>
      </c>
      <c r="T13" s="75">
        <v>0</v>
      </c>
      <c r="U13" s="75">
        <v>0</v>
      </c>
      <c r="V13" s="79">
        <v>0</v>
      </c>
      <c r="W13" s="79">
        <v>0</v>
      </c>
      <c r="X13" s="112">
        <v>0</v>
      </c>
      <c r="Y13" s="112">
        <v>3600</v>
      </c>
      <c r="Z13" s="79">
        <f>17079+490</f>
        <v>17569</v>
      </c>
      <c r="AA13" s="80">
        <v>0</v>
      </c>
      <c r="AB13" s="112">
        <v>0</v>
      </c>
      <c r="AC13" s="112">
        <v>0</v>
      </c>
      <c r="AD13" s="81">
        <v>0</v>
      </c>
      <c r="AE13" s="81">
        <v>0</v>
      </c>
      <c r="AF13" s="79">
        <v>0</v>
      </c>
      <c r="AG13" s="114">
        <v>0</v>
      </c>
      <c r="AH13" s="82">
        <v>0</v>
      </c>
      <c r="AI13" s="82">
        <v>0</v>
      </c>
      <c r="AJ13" s="112">
        <v>0</v>
      </c>
      <c r="AK13" s="112">
        <v>0</v>
      </c>
      <c r="AL13" s="79">
        <v>0</v>
      </c>
      <c r="AM13" s="79">
        <v>0</v>
      </c>
      <c r="AN13" s="112">
        <v>0</v>
      </c>
      <c r="AO13" s="116">
        <v>0</v>
      </c>
      <c r="AP13" s="79">
        <v>0</v>
      </c>
      <c r="AQ13" s="79">
        <v>0</v>
      </c>
      <c r="AR13" s="112">
        <v>0</v>
      </c>
      <c r="AS13" s="112">
        <v>1200</v>
      </c>
      <c r="AT13" s="79">
        <v>0</v>
      </c>
      <c r="AU13" s="79">
        <v>12000</v>
      </c>
      <c r="AV13" s="112">
        <v>0</v>
      </c>
      <c r="AW13" s="112">
        <v>15600</v>
      </c>
      <c r="AX13" s="75">
        <f t="shared" si="1"/>
        <v>49969</v>
      </c>
      <c r="AY13" s="75"/>
      <c r="AZ13" s="75">
        <f>13665+281</f>
        <v>13946</v>
      </c>
      <c r="BA13" s="75"/>
      <c r="BB13" s="83">
        <f t="shared" si="2"/>
        <v>230364</v>
      </c>
      <c r="BD13" s="124">
        <f t="shared" si="3"/>
        <v>17569</v>
      </c>
      <c r="BE13" s="124">
        <f t="shared" si="4"/>
        <v>32400</v>
      </c>
      <c r="BI13" s="131"/>
      <c r="BJ13" s="17"/>
      <c r="BK13" s="17"/>
      <c r="BL13" s="112">
        <v>17079</v>
      </c>
      <c r="BM13" s="75">
        <f t="shared" si="6"/>
        <v>32890</v>
      </c>
      <c r="BN13" s="75">
        <v>52531</v>
      </c>
      <c r="BO13" s="143">
        <v>5.1499999999999997E-2</v>
      </c>
      <c r="BP13" s="153">
        <v>6.5500000000000003E-2</v>
      </c>
      <c r="BQ13" s="17"/>
      <c r="BR13" s="17"/>
    </row>
    <row r="14" spans="1:70" x14ac:dyDescent="0.25">
      <c r="A14" s="142">
        <v>50215</v>
      </c>
      <c r="B14" s="35" t="s">
        <v>45</v>
      </c>
      <c r="C14" s="75">
        <v>22080</v>
      </c>
      <c r="D14" s="75">
        <v>27408</v>
      </c>
      <c r="E14" s="75">
        <v>0</v>
      </c>
      <c r="F14" s="75">
        <v>183180</v>
      </c>
      <c r="G14" s="75">
        <v>52668</v>
      </c>
      <c r="H14" s="75">
        <v>52668</v>
      </c>
      <c r="I14" s="75">
        <v>47328</v>
      </c>
      <c r="J14" s="75">
        <v>10068</v>
      </c>
      <c r="K14" s="75">
        <v>30216</v>
      </c>
      <c r="L14" s="75">
        <f t="shared" si="5"/>
        <v>425616</v>
      </c>
      <c r="M14" s="75"/>
      <c r="N14" s="79">
        <v>0</v>
      </c>
      <c r="O14" s="79">
        <v>236212</v>
      </c>
      <c r="P14" s="75">
        <v>0</v>
      </c>
      <c r="Q14" s="75">
        <v>0</v>
      </c>
      <c r="R14" s="79">
        <v>0</v>
      </c>
      <c r="S14" s="79">
        <v>24591</v>
      </c>
      <c r="T14" s="75">
        <v>0</v>
      </c>
      <c r="U14" s="75">
        <f>2957-1392</f>
        <v>1565</v>
      </c>
      <c r="V14" s="79">
        <v>0</v>
      </c>
      <c r="W14" s="79">
        <v>0</v>
      </c>
      <c r="X14" s="112">
        <v>0</v>
      </c>
      <c r="Y14" s="112">
        <v>54480</v>
      </c>
      <c r="Z14" s="79">
        <v>52668</v>
      </c>
      <c r="AA14" s="80">
        <v>0</v>
      </c>
      <c r="AB14" s="112">
        <v>0</v>
      </c>
      <c r="AC14" s="112">
        <v>265192</v>
      </c>
      <c r="AD14" s="81">
        <v>0</v>
      </c>
      <c r="AE14" s="81">
        <v>0</v>
      </c>
      <c r="AF14" s="79">
        <v>0</v>
      </c>
      <c r="AG14" s="114">
        <v>170549</v>
      </c>
      <c r="AH14" s="82">
        <v>0</v>
      </c>
      <c r="AI14" s="82">
        <v>0</v>
      </c>
      <c r="AJ14" s="112">
        <v>0</v>
      </c>
      <c r="AK14" s="112">
        <v>57634</v>
      </c>
      <c r="AL14" s="79">
        <v>0</v>
      </c>
      <c r="AM14" s="79">
        <v>6421</v>
      </c>
      <c r="AN14" s="112">
        <v>0</v>
      </c>
      <c r="AO14" s="116">
        <v>56848</v>
      </c>
      <c r="AP14" s="79">
        <v>0</v>
      </c>
      <c r="AQ14" s="79">
        <v>25777</v>
      </c>
      <c r="AR14" s="112">
        <v>0</v>
      </c>
      <c r="AS14" s="112">
        <v>135336</v>
      </c>
      <c r="AT14" s="79">
        <v>0</v>
      </c>
      <c r="AU14" s="79">
        <v>193872</v>
      </c>
      <c r="AV14" s="112">
        <v>0</v>
      </c>
      <c r="AW14" s="112">
        <v>243408</v>
      </c>
      <c r="AX14" s="75">
        <f t="shared" si="1"/>
        <v>1524553</v>
      </c>
      <c r="AY14" s="75"/>
      <c r="AZ14" s="75">
        <v>32520</v>
      </c>
      <c r="BA14" s="75"/>
      <c r="BB14" s="83">
        <f t="shared" si="2"/>
        <v>1982689</v>
      </c>
      <c r="BD14" s="124">
        <f t="shared" si="3"/>
        <v>52668</v>
      </c>
      <c r="BE14" s="124">
        <f t="shared" si="4"/>
        <v>1471885</v>
      </c>
      <c r="BG14" s="142"/>
      <c r="BH14" s="142"/>
      <c r="BI14" s="133"/>
      <c r="BJ14" s="17"/>
      <c r="BK14" s="17"/>
      <c r="BL14" s="112">
        <v>52668</v>
      </c>
      <c r="BM14" s="75">
        <f t="shared" si="6"/>
        <v>1471885</v>
      </c>
      <c r="BN14" s="75">
        <f t="shared" si="7"/>
        <v>1677008.3000000003</v>
      </c>
      <c r="BO14" s="143">
        <v>0.1</v>
      </c>
      <c r="BP14" s="143">
        <v>0.1</v>
      </c>
      <c r="BQ14" s="17"/>
      <c r="BR14" s="17"/>
    </row>
    <row r="15" spans="1:70" x14ac:dyDescent="0.25">
      <c r="A15" s="142">
        <v>50225</v>
      </c>
      <c r="B15" s="35" t="s">
        <v>46</v>
      </c>
      <c r="C15" s="75">
        <v>1935</v>
      </c>
      <c r="D15" s="75">
        <v>669</v>
      </c>
      <c r="E15" s="75">
        <v>0</v>
      </c>
      <c r="F15" s="75">
        <v>6663</v>
      </c>
      <c r="G15" s="75">
        <v>2613</v>
      </c>
      <c r="H15" s="75">
        <v>1782</v>
      </c>
      <c r="I15" s="75">
        <v>2745</v>
      </c>
      <c r="J15" s="75">
        <v>617</v>
      </c>
      <c r="K15" s="75">
        <v>1440</v>
      </c>
      <c r="L15" s="75">
        <f t="shared" si="5"/>
        <v>18464</v>
      </c>
      <c r="M15" s="75"/>
      <c r="N15" s="79">
        <v>0</v>
      </c>
      <c r="O15" s="79">
        <v>5441</v>
      </c>
      <c r="P15" s="75">
        <v>0</v>
      </c>
      <c r="Q15" s="75">
        <v>0</v>
      </c>
      <c r="R15" s="79">
        <v>0</v>
      </c>
      <c r="S15" s="79">
        <v>564</v>
      </c>
      <c r="T15" s="75">
        <v>0</v>
      </c>
      <c r="U15" s="75">
        <f>68-32</f>
        <v>36</v>
      </c>
      <c r="V15" s="79">
        <v>0</v>
      </c>
      <c r="W15" s="79">
        <v>0</v>
      </c>
      <c r="X15" s="112">
        <v>0</v>
      </c>
      <c r="Y15" s="112">
        <v>5604</v>
      </c>
      <c r="Z15" s="79">
        <v>1947</v>
      </c>
      <c r="AA15" s="80">
        <v>0</v>
      </c>
      <c r="AB15" s="112">
        <v>0</v>
      </c>
      <c r="AC15" s="112">
        <v>6109</v>
      </c>
      <c r="AD15" s="81">
        <v>0</v>
      </c>
      <c r="AE15" s="81">
        <v>0</v>
      </c>
      <c r="AF15" s="79">
        <v>0</v>
      </c>
      <c r="AG15" s="114">
        <v>3924</v>
      </c>
      <c r="AH15" s="82">
        <v>0</v>
      </c>
      <c r="AI15" s="82">
        <v>0</v>
      </c>
      <c r="AJ15" s="112">
        <v>0</v>
      </c>
      <c r="AK15" s="112">
        <v>1327</v>
      </c>
      <c r="AL15" s="79">
        <v>0</v>
      </c>
      <c r="AM15" s="79">
        <v>149</v>
      </c>
      <c r="AN15" s="112">
        <v>0</v>
      </c>
      <c r="AO15" s="116">
        <v>1306</v>
      </c>
      <c r="AP15" s="79">
        <v>0</v>
      </c>
      <c r="AQ15" s="79">
        <v>592</v>
      </c>
      <c r="AR15" s="112">
        <v>0</v>
      </c>
      <c r="AS15" s="112">
        <v>11151</v>
      </c>
      <c r="AT15" s="79">
        <v>0</v>
      </c>
      <c r="AU15" s="79">
        <v>18471</v>
      </c>
      <c r="AV15" s="112">
        <v>0</v>
      </c>
      <c r="AW15" s="112">
        <f>22434+1061</f>
        <v>23495</v>
      </c>
      <c r="AX15" s="75">
        <f t="shared" si="1"/>
        <v>80116</v>
      </c>
      <c r="AY15" s="75"/>
      <c r="AZ15" s="75">
        <v>1548</v>
      </c>
      <c r="BA15" s="75"/>
      <c r="BB15" s="83">
        <f t="shared" si="2"/>
        <v>100128</v>
      </c>
      <c r="BD15" s="124">
        <f t="shared" si="3"/>
        <v>1947</v>
      </c>
      <c r="BE15" s="124">
        <f t="shared" si="4"/>
        <v>78169</v>
      </c>
      <c r="BG15" s="19"/>
      <c r="BH15" s="20"/>
      <c r="BI15" s="134"/>
      <c r="BJ15" s="17"/>
      <c r="BK15" s="17"/>
      <c r="BL15" s="112">
        <v>1947</v>
      </c>
      <c r="BM15" s="75">
        <f t="shared" si="6"/>
        <v>78169</v>
      </c>
      <c r="BN15" s="75">
        <f t="shared" si="7"/>
        <v>84121.8</v>
      </c>
      <c r="BO15" s="146">
        <v>0.05</v>
      </c>
      <c r="BP15" s="146">
        <v>0.05</v>
      </c>
      <c r="BQ15" s="22"/>
      <c r="BR15" s="22"/>
    </row>
    <row r="16" spans="1:70" x14ac:dyDescent="0.25">
      <c r="A16" s="142">
        <v>50230</v>
      </c>
      <c r="B16" s="35" t="s">
        <v>47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f t="shared" si="5"/>
        <v>0</v>
      </c>
      <c r="M16" s="75"/>
      <c r="N16" s="79">
        <v>0</v>
      </c>
      <c r="O16" s="79">
        <v>0</v>
      </c>
      <c r="P16" s="75">
        <v>0</v>
      </c>
      <c r="Q16" s="75">
        <v>0</v>
      </c>
      <c r="R16" s="79">
        <v>0</v>
      </c>
      <c r="S16" s="79">
        <v>0</v>
      </c>
      <c r="T16" s="75">
        <v>0</v>
      </c>
      <c r="U16" s="75">
        <v>0</v>
      </c>
      <c r="V16" s="79">
        <v>0</v>
      </c>
      <c r="W16" s="79">
        <v>0</v>
      </c>
      <c r="X16" s="112">
        <v>0</v>
      </c>
      <c r="Y16" s="112">
        <v>1242</v>
      </c>
      <c r="Z16" s="79">
        <v>0</v>
      </c>
      <c r="AA16" s="80">
        <v>0</v>
      </c>
      <c r="AB16" s="112">
        <v>0</v>
      </c>
      <c r="AC16" s="112">
        <v>0</v>
      </c>
      <c r="AD16" s="81">
        <v>0</v>
      </c>
      <c r="AE16" s="81">
        <v>0</v>
      </c>
      <c r="AF16" s="79">
        <v>0</v>
      </c>
      <c r="AG16" s="114">
        <v>0</v>
      </c>
      <c r="AH16" s="82">
        <v>0</v>
      </c>
      <c r="AI16" s="82">
        <v>0</v>
      </c>
      <c r="AJ16" s="112">
        <v>0</v>
      </c>
      <c r="AK16" s="112">
        <v>0</v>
      </c>
      <c r="AL16" s="79">
        <v>0</v>
      </c>
      <c r="AM16" s="79">
        <v>0</v>
      </c>
      <c r="AN16" s="112">
        <v>0</v>
      </c>
      <c r="AO16" s="116">
        <v>0</v>
      </c>
      <c r="AP16" s="79">
        <v>0</v>
      </c>
      <c r="AQ16" s="79">
        <v>0</v>
      </c>
      <c r="AR16" s="112">
        <v>0</v>
      </c>
      <c r="AS16" s="112">
        <v>2475</v>
      </c>
      <c r="AT16" s="79">
        <v>0</v>
      </c>
      <c r="AU16" s="79">
        <v>4104</v>
      </c>
      <c r="AV16" s="112">
        <v>0</v>
      </c>
      <c r="AW16" s="112">
        <f>4986+130</f>
        <v>5116</v>
      </c>
      <c r="AX16" s="75">
        <f t="shared" si="1"/>
        <v>12937</v>
      </c>
      <c r="AY16" s="75"/>
      <c r="AZ16" s="75">
        <v>0</v>
      </c>
      <c r="BA16" s="75"/>
      <c r="BB16" s="83">
        <f t="shared" si="2"/>
        <v>12937</v>
      </c>
      <c r="BD16" s="124">
        <f t="shared" si="3"/>
        <v>0</v>
      </c>
      <c r="BE16" s="124">
        <f t="shared" si="4"/>
        <v>12937</v>
      </c>
      <c r="BG16" s="19"/>
      <c r="BH16" s="20"/>
      <c r="BI16" s="134"/>
      <c r="BL16" s="112">
        <v>0</v>
      </c>
      <c r="BM16" s="75">
        <f t="shared" si="6"/>
        <v>12937</v>
      </c>
      <c r="BN16" s="75">
        <f t="shared" si="7"/>
        <v>13066.37</v>
      </c>
      <c r="BO16" s="143">
        <v>0.01</v>
      </c>
    </row>
    <row r="17" spans="1:72" x14ac:dyDescent="0.25">
      <c r="A17" s="142">
        <v>50231</v>
      </c>
      <c r="B17" s="35" t="s">
        <v>48</v>
      </c>
      <c r="C17" s="75">
        <v>1080</v>
      </c>
      <c r="D17" s="75">
        <v>1068</v>
      </c>
      <c r="E17" s="75">
        <v>0</v>
      </c>
      <c r="F17" s="75">
        <v>9096</v>
      </c>
      <c r="G17" s="75">
        <v>3600</v>
      </c>
      <c r="H17" s="75">
        <v>2760</v>
      </c>
      <c r="I17" s="75">
        <v>2748</v>
      </c>
      <c r="J17" s="75">
        <v>912</v>
      </c>
      <c r="K17" s="75">
        <v>2316</v>
      </c>
      <c r="L17" s="75">
        <f t="shared" si="5"/>
        <v>23580</v>
      </c>
      <c r="M17" s="75"/>
      <c r="N17" s="79">
        <v>0</v>
      </c>
      <c r="O17" s="79">
        <v>12818</v>
      </c>
      <c r="P17" s="75">
        <v>0</v>
      </c>
      <c r="Q17" s="75">
        <v>0</v>
      </c>
      <c r="R17" s="79">
        <v>0</v>
      </c>
      <c r="S17" s="79">
        <v>1334</v>
      </c>
      <c r="T17" s="75">
        <v>0</v>
      </c>
      <c r="U17" s="75">
        <f>160-75</f>
        <v>85</v>
      </c>
      <c r="V17" s="79">
        <v>0</v>
      </c>
      <c r="W17" s="79">
        <v>0</v>
      </c>
      <c r="X17" s="112">
        <v>0</v>
      </c>
      <c r="Y17" s="112">
        <v>2664</v>
      </c>
      <c r="Z17" s="79">
        <v>2844</v>
      </c>
      <c r="AA17" s="80">
        <v>0</v>
      </c>
      <c r="AB17" s="112">
        <v>0</v>
      </c>
      <c r="AC17" s="112">
        <v>14391</v>
      </c>
      <c r="AD17" s="81">
        <v>0</v>
      </c>
      <c r="AE17" s="81">
        <v>0</v>
      </c>
      <c r="AF17" s="79">
        <v>0</v>
      </c>
      <c r="AG17" s="114">
        <v>9256</v>
      </c>
      <c r="AH17" s="82">
        <v>0</v>
      </c>
      <c r="AI17" s="82">
        <v>0</v>
      </c>
      <c r="AJ17" s="112">
        <v>0</v>
      </c>
      <c r="AK17" s="112">
        <v>3127</v>
      </c>
      <c r="AL17" s="79">
        <v>0</v>
      </c>
      <c r="AM17" s="79">
        <v>348</v>
      </c>
      <c r="AN17" s="112">
        <v>0</v>
      </c>
      <c r="AO17" s="116">
        <v>3085</v>
      </c>
      <c r="AP17" s="79">
        <v>0</v>
      </c>
      <c r="AQ17" s="79">
        <v>1397</v>
      </c>
      <c r="AR17" s="112">
        <v>0</v>
      </c>
      <c r="AS17" s="112">
        <v>6600</v>
      </c>
      <c r="AT17" s="79">
        <v>0</v>
      </c>
      <c r="AU17" s="79">
        <v>9828</v>
      </c>
      <c r="AV17" s="112">
        <v>0</v>
      </c>
      <c r="AW17" s="112">
        <v>11748</v>
      </c>
      <c r="AX17" s="75">
        <f t="shared" si="1"/>
        <v>79525</v>
      </c>
      <c r="AY17" s="75"/>
      <c r="AZ17" s="75">
        <v>2028</v>
      </c>
      <c r="BA17" s="75"/>
      <c r="BB17" s="83">
        <f t="shared" si="2"/>
        <v>105133</v>
      </c>
      <c r="BD17" s="124">
        <f t="shared" si="3"/>
        <v>2844</v>
      </c>
      <c r="BE17" s="124">
        <f t="shared" si="4"/>
        <v>76681</v>
      </c>
      <c r="BG17" s="23"/>
      <c r="BH17" s="20"/>
      <c r="BI17" s="135"/>
      <c r="BJ17" s="17"/>
      <c r="BK17" s="17"/>
      <c r="BL17" s="112">
        <v>2844</v>
      </c>
      <c r="BM17" s="75">
        <f t="shared" si="6"/>
        <v>76681</v>
      </c>
      <c r="BN17" s="75">
        <f t="shared" si="7"/>
        <v>87477.5</v>
      </c>
      <c r="BO17" s="143">
        <v>0.1</v>
      </c>
      <c r="BP17" s="143">
        <v>0.1</v>
      </c>
      <c r="BQ17" s="17"/>
      <c r="BR17" s="17"/>
    </row>
    <row r="18" spans="1:72" x14ac:dyDescent="0.25">
      <c r="A18" s="142">
        <v>50235</v>
      </c>
      <c r="B18" s="35" t="s">
        <v>49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f t="shared" si="5"/>
        <v>0</v>
      </c>
      <c r="M18" s="75"/>
      <c r="N18" s="79">
        <v>0</v>
      </c>
      <c r="O18" s="79">
        <v>3504</v>
      </c>
      <c r="P18" s="75">
        <v>0</v>
      </c>
      <c r="Q18" s="75">
        <v>0</v>
      </c>
      <c r="R18" s="79">
        <v>0</v>
      </c>
      <c r="S18" s="79">
        <v>365</v>
      </c>
      <c r="T18" s="75">
        <v>0</v>
      </c>
      <c r="U18" s="75">
        <f>45-22</f>
        <v>23</v>
      </c>
      <c r="V18" s="79">
        <v>0</v>
      </c>
      <c r="W18" s="79">
        <v>0</v>
      </c>
      <c r="X18" s="112">
        <v>0</v>
      </c>
      <c r="Y18" s="112">
        <v>756</v>
      </c>
      <c r="Z18" s="79">
        <v>0</v>
      </c>
      <c r="AA18" s="80">
        <v>0</v>
      </c>
      <c r="AB18" s="112">
        <v>0</v>
      </c>
      <c r="AC18" s="112">
        <v>3933</v>
      </c>
      <c r="AD18" s="81">
        <v>0</v>
      </c>
      <c r="AE18" s="81">
        <v>0</v>
      </c>
      <c r="AF18" s="79">
        <v>0</v>
      </c>
      <c r="AG18" s="114">
        <v>2528</v>
      </c>
      <c r="AH18" s="82">
        <v>0</v>
      </c>
      <c r="AI18" s="82">
        <v>0</v>
      </c>
      <c r="AJ18" s="112">
        <v>0</v>
      </c>
      <c r="AK18" s="112">
        <v>853</v>
      </c>
      <c r="AL18" s="79">
        <v>0</v>
      </c>
      <c r="AM18" s="79">
        <v>94</v>
      </c>
      <c r="AN18" s="112">
        <v>0</v>
      </c>
      <c r="AO18" s="116">
        <v>844</v>
      </c>
      <c r="AP18" s="79">
        <v>0</v>
      </c>
      <c r="AQ18" s="79">
        <v>383</v>
      </c>
      <c r="AR18" s="112">
        <v>0</v>
      </c>
      <c r="AS18" s="112">
        <v>1764</v>
      </c>
      <c r="AT18" s="79">
        <v>0</v>
      </c>
      <c r="AU18" s="79">
        <v>2532</v>
      </c>
      <c r="AV18" s="112">
        <v>0</v>
      </c>
      <c r="AW18" s="112">
        <v>2868</v>
      </c>
      <c r="AX18" s="75">
        <f t="shared" si="1"/>
        <v>20447</v>
      </c>
      <c r="AY18" s="75"/>
      <c r="AZ18" s="75">
        <v>0</v>
      </c>
      <c r="BA18" s="75"/>
      <c r="BB18" s="83">
        <f t="shared" si="2"/>
        <v>20447</v>
      </c>
      <c r="BD18" s="124">
        <f t="shared" si="3"/>
        <v>0</v>
      </c>
      <c r="BE18" s="124">
        <f t="shared" si="4"/>
        <v>20447</v>
      </c>
      <c r="BI18" s="131"/>
      <c r="BL18" s="112">
        <v>0</v>
      </c>
      <c r="BM18" s="75">
        <f t="shared" si="6"/>
        <v>20447</v>
      </c>
      <c r="BN18" s="75">
        <f t="shared" si="7"/>
        <v>22491.7</v>
      </c>
      <c r="BO18" s="143">
        <v>0.1</v>
      </c>
      <c r="BP18" s="143">
        <v>0.1</v>
      </c>
    </row>
    <row r="19" spans="1:72" x14ac:dyDescent="0.25">
      <c r="A19" s="142">
        <v>50245</v>
      </c>
      <c r="B19" s="35" t="s">
        <v>50</v>
      </c>
      <c r="C19" s="75">
        <v>9300</v>
      </c>
      <c r="D19" s="75">
        <v>0</v>
      </c>
      <c r="E19" s="75">
        <v>0</v>
      </c>
      <c r="F19" s="75">
        <v>6000</v>
      </c>
      <c r="G19" s="75">
        <v>0</v>
      </c>
      <c r="H19" s="75">
        <v>0</v>
      </c>
      <c r="I19" s="75">
        <v>12000</v>
      </c>
      <c r="J19" s="75">
        <v>0</v>
      </c>
      <c r="K19" s="75">
        <v>0</v>
      </c>
      <c r="L19" s="75">
        <f t="shared" si="5"/>
        <v>27300</v>
      </c>
      <c r="M19" s="75"/>
      <c r="N19" s="79">
        <v>0</v>
      </c>
      <c r="O19" s="79">
        <v>0</v>
      </c>
      <c r="P19" s="75">
        <v>0</v>
      </c>
      <c r="Q19" s="75">
        <v>0</v>
      </c>
      <c r="R19" s="79">
        <v>0</v>
      </c>
      <c r="S19" s="79">
        <v>0</v>
      </c>
      <c r="T19" s="75">
        <v>0</v>
      </c>
      <c r="U19" s="75">
        <v>0</v>
      </c>
      <c r="V19" s="79">
        <v>0</v>
      </c>
      <c r="W19" s="79">
        <v>0</v>
      </c>
      <c r="X19" s="112">
        <v>0</v>
      </c>
      <c r="Y19" s="112">
        <v>0</v>
      </c>
      <c r="Z19" s="79">
        <v>0</v>
      </c>
      <c r="AA19" s="80">
        <v>0</v>
      </c>
      <c r="AB19" s="112">
        <v>0</v>
      </c>
      <c r="AC19" s="112">
        <v>0</v>
      </c>
      <c r="AD19" s="81">
        <v>0</v>
      </c>
      <c r="AE19" s="81">
        <v>0</v>
      </c>
      <c r="AF19" s="79">
        <v>0</v>
      </c>
      <c r="AG19" s="114">
        <v>0</v>
      </c>
      <c r="AH19" s="82">
        <v>0</v>
      </c>
      <c r="AI19" s="82">
        <v>0</v>
      </c>
      <c r="AJ19" s="112">
        <v>0</v>
      </c>
      <c r="AK19" s="112">
        <v>0</v>
      </c>
      <c r="AL19" s="79">
        <v>0</v>
      </c>
      <c r="AM19" s="79">
        <v>0</v>
      </c>
      <c r="AN19" s="112">
        <v>0</v>
      </c>
      <c r="AO19" s="116">
        <v>0</v>
      </c>
      <c r="AP19" s="79">
        <v>0</v>
      </c>
      <c r="AQ19" s="79">
        <v>0</v>
      </c>
      <c r="AR19" s="112">
        <v>0</v>
      </c>
      <c r="AS19" s="112">
        <v>0</v>
      </c>
      <c r="AT19" s="79">
        <v>0</v>
      </c>
      <c r="AU19" s="79">
        <v>0</v>
      </c>
      <c r="AV19" s="112">
        <v>0</v>
      </c>
      <c r="AW19" s="112">
        <v>0</v>
      </c>
      <c r="AX19" s="75">
        <f t="shared" si="1"/>
        <v>0</v>
      </c>
      <c r="AY19" s="75"/>
      <c r="AZ19" s="75">
        <v>0</v>
      </c>
      <c r="BA19" s="75"/>
      <c r="BB19" s="83">
        <f t="shared" si="2"/>
        <v>27300</v>
      </c>
      <c r="BD19" s="124">
        <f t="shared" si="3"/>
        <v>0</v>
      </c>
      <c r="BE19" s="124">
        <f t="shared" si="4"/>
        <v>0</v>
      </c>
      <c r="BG19" s="142"/>
      <c r="BH19" s="142"/>
      <c r="BI19" s="133"/>
      <c r="BL19" s="112">
        <v>0</v>
      </c>
      <c r="BM19" s="75">
        <f t="shared" si="6"/>
        <v>0</v>
      </c>
      <c r="BN19" s="75">
        <f t="shared" si="7"/>
        <v>0</v>
      </c>
      <c r="BO19" s="147"/>
      <c r="BP19" s="147"/>
      <c r="BQ19" s="24"/>
    </row>
    <row r="20" spans="1:72" x14ac:dyDescent="0.25">
      <c r="A20" s="142">
        <v>50250</v>
      </c>
      <c r="B20" s="35" t="s">
        <v>51</v>
      </c>
      <c r="C20" s="75">
        <v>1860</v>
      </c>
      <c r="D20" s="75">
        <v>0</v>
      </c>
      <c r="E20" s="75">
        <v>0</v>
      </c>
      <c r="F20" s="75">
        <v>720</v>
      </c>
      <c r="G20" s="75">
        <v>2880</v>
      </c>
      <c r="H20" s="75">
        <v>2160</v>
      </c>
      <c r="I20" s="75">
        <v>1440</v>
      </c>
      <c r="J20" s="75">
        <v>0</v>
      </c>
      <c r="K20" s="75">
        <v>2160</v>
      </c>
      <c r="L20" s="75">
        <f t="shared" si="5"/>
        <v>11220</v>
      </c>
      <c r="M20" s="75"/>
      <c r="N20" s="79">
        <v>0</v>
      </c>
      <c r="O20" s="79">
        <v>0</v>
      </c>
      <c r="P20" s="75">
        <v>0</v>
      </c>
      <c r="Q20" s="75">
        <v>0</v>
      </c>
      <c r="R20" s="79">
        <v>0</v>
      </c>
      <c r="S20" s="79">
        <v>0</v>
      </c>
      <c r="T20" s="75">
        <v>0</v>
      </c>
      <c r="U20" s="75">
        <v>0</v>
      </c>
      <c r="V20" s="79">
        <v>0</v>
      </c>
      <c r="W20" s="79">
        <v>0</v>
      </c>
      <c r="X20" s="112">
        <v>0</v>
      </c>
      <c r="Y20" s="112">
        <v>0</v>
      </c>
      <c r="Z20" s="79">
        <v>1440</v>
      </c>
      <c r="AA20" s="80">
        <v>0</v>
      </c>
      <c r="AB20" s="112">
        <v>0</v>
      </c>
      <c r="AC20" s="112">
        <v>0</v>
      </c>
      <c r="AD20" s="81">
        <v>0</v>
      </c>
      <c r="AE20" s="81">
        <v>0</v>
      </c>
      <c r="AF20" s="79">
        <v>0</v>
      </c>
      <c r="AG20" s="114">
        <v>0</v>
      </c>
      <c r="AH20" s="82">
        <v>0</v>
      </c>
      <c r="AI20" s="82">
        <v>0</v>
      </c>
      <c r="AJ20" s="112">
        <v>0</v>
      </c>
      <c r="AK20" s="112">
        <v>0</v>
      </c>
      <c r="AL20" s="79">
        <v>0</v>
      </c>
      <c r="AM20" s="79">
        <v>0</v>
      </c>
      <c r="AN20" s="112">
        <v>0</v>
      </c>
      <c r="AO20" s="116">
        <v>0</v>
      </c>
      <c r="AP20" s="79">
        <v>0</v>
      </c>
      <c r="AQ20" s="79">
        <v>0</v>
      </c>
      <c r="AR20" s="112">
        <v>0</v>
      </c>
      <c r="AS20" s="112">
        <v>0</v>
      </c>
      <c r="AT20" s="79">
        <v>0</v>
      </c>
      <c r="AU20" s="79">
        <v>0</v>
      </c>
      <c r="AV20" s="112">
        <v>0</v>
      </c>
      <c r="AW20" s="112">
        <v>0</v>
      </c>
      <c r="AX20" s="75">
        <f t="shared" si="1"/>
        <v>1440</v>
      </c>
      <c r="AY20" s="75"/>
      <c r="AZ20" s="75">
        <v>1440</v>
      </c>
      <c r="BA20" s="75"/>
      <c r="BB20" s="83">
        <f t="shared" si="2"/>
        <v>14100</v>
      </c>
      <c r="BD20" s="124">
        <f t="shared" si="3"/>
        <v>1440</v>
      </c>
      <c r="BE20" s="124">
        <f t="shared" si="4"/>
        <v>0</v>
      </c>
      <c r="BG20" s="19"/>
      <c r="BH20" s="20"/>
      <c r="BI20" s="134"/>
      <c r="BL20" s="112">
        <v>1440</v>
      </c>
      <c r="BM20" s="75">
        <f t="shared" si="6"/>
        <v>0</v>
      </c>
      <c r="BN20" s="75">
        <f t="shared" si="7"/>
        <v>1465.6320000000001</v>
      </c>
      <c r="BO20" s="143">
        <v>1.78E-2</v>
      </c>
      <c r="BP20" s="143">
        <v>1.78E-2</v>
      </c>
      <c r="BQ20" s="7"/>
    </row>
    <row r="21" spans="1:72" x14ac:dyDescent="0.25">
      <c r="A21" s="142">
        <v>50265</v>
      </c>
      <c r="B21" s="35" t="s">
        <v>52</v>
      </c>
      <c r="C21" s="75">
        <v>1008</v>
      </c>
      <c r="D21" s="75">
        <v>1260</v>
      </c>
      <c r="E21" s="75">
        <v>0</v>
      </c>
      <c r="F21" s="75">
        <v>8328</v>
      </c>
      <c r="G21" s="75">
        <v>2532</v>
      </c>
      <c r="H21" s="75">
        <v>2532</v>
      </c>
      <c r="I21" s="75">
        <v>2292</v>
      </c>
      <c r="J21" s="75">
        <v>492</v>
      </c>
      <c r="K21" s="75">
        <v>1488</v>
      </c>
      <c r="L21" s="75">
        <f t="shared" si="5"/>
        <v>19932</v>
      </c>
      <c r="M21" s="75"/>
      <c r="N21" s="79">
        <v>0</v>
      </c>
      <c r="O21" s="79">
        <v>8500</v>
      </c>
      <c r="P21" s="75">
        <v>0</v>
      </c>
      <c r="Q21" s="75">
        <v>0</v>
      </c>
      <c r="R21" s="79">
        <v>0</v>
      </c>
      <c r="S21" s="79">
        <v>884</v>
      </c>
      <c r="T21" s="75">
        <v>0</v>
      </c>
      <c r="U21" s="75">
        <f>107-51</f>
        <v>56</v>
      </c>
      <c r="V21" s="79">
        <v>0</v>
      </c>
      <c r="W21" s="79">
        <v>0</v>
      </c>
      <c r="X21" s="112">
        <v>0</v>
      </c>
      <c r="Y21" s="112">
        <v>1512</v>
      </c>
      <c r="Z21" s="79">
        <v>2532</v>
      </c>
      <c r="AA21" s="80">
        <v>0</v>
      </c>
      <c r="AB21" s="112">
        <v>0</v>
      </c>
      <c r="AC21" s="112">
        <v>9540</v>
      </c>
      <c r="AD21" s="81">
        <v>0</v>
      </c>
      <c r="AE21" s="81">
        <v>0</v>
      </c>
      <c r="AF21" s="79">
        <v>0</v>
      </c>
      <c r="AG21" s="114">
        <v>6135</v>
      </c>
      <c r="AH21" s="82">
        <v>0</v>
      </c>
      <c r="AI21" s="82">
        <v>0</v>
      </c>
      <c r="AJ21" s="112">
        <v>0</v>
      </c>
      <c r="AK21" s="112">
        <v>2074</v>
      </c>
      <c r="AL21" s="79">
        <v>0</v>
      </c>
      <c r="AM21" s="79">
        <v>231</v>
      </c>
      <c r="AN21" s="112">
        <v>0</v>
      </c>
      <c r="AO21" s="116">
        <v>2046</v>
      </c>
      <c r="AP21" s="79">
        <v>0</v>
      </c>
      <c r="AQ21" s="79">
        <v>927</v>
      </c>
      <c r="AR21" s="112">
        <v>0</v>
      </c>
      <c r="AS21" s="112">
        <v>3516</v>
      </c>
      <c r="AT21" s="79">
        <v>0</v>
      </c>
      <c r="AU21" s="79">
        <v>5388</v>
      </c>
      <c r="AV21" s="112">
        <v>0</v>
      </c>
      <c r="AW21" s="112">
        <v>5700</v>
      </c>
      <c r="AX21" s="75">
        <f t="shared" si="1"/>
        <v>49041</v>
      </c>
      <c r="AY21" s="75"/>
      <c r="AZ21" s="75">
        <v>1548</v>
      </c>
      <c r="BA21" s="75"/>
      <c r="BB21" s="83">
        <f t="shared" si="2"/>
        <v>70521</v>
      </c>
      <c r="BD21" s="124">
        <f t="shared" si="3"/>
        <v>2532</v>
      </c>
      <c r="BE21" s="124">
        <f t="shared" si="4"/>
        <v>46509</v>
      </c>
      <c r="BG21" s="142"/>
      <c r="BH21" s="25"/>
      <c r="BI21" s="134"/>
      <c r="BJ21" s="13"/>
      <c r="BL21" s="112">
        <v>2532</v>
      </c>
      <c r="BM21" s="75">
        <f t="shared" si="6"/>
        <v>46509</v>
      </c>
      <c r="BN21" s="75">
        <f t="shared" si="7"/>
        <v>53945.1</v>
      </c>
      <c r="BO21" s="143">
        <v>0.1</v>
      </c>
      <c r="BP21" s="143">
        <v>0.1</v>
      </c>
      <c r="BQ21" s="26"/>
    </row>
    <row r="22" spans="1:72" s="13" customFormat="1" x14ac:dyDescent="0.25">
      <c r="A22" s="27"/>
      <c r="B22" s="121" t="s">
        <v>53</v>
      </c>
      <c r="C22" s="78">
        <f t="shared" ref="C22:AZ22" si="8">SUM(C8:C21)</f>
        <v>350472</v>
      </c>
      <c r="D22" s="78">
        <f t="shared" si="8"/>
        <v>140555</v>
      </c>
      <c r="E22" s="78">
        <f t="shared" si="8"/>
        <v>0</v>
      </c>
      <c r="F22" s="78">
        <f t="shared" si="8"/>
        <v>1300923</v>
      </c>
      <c r="G22" s="78">
        <f t="shared" si="8"/>
        <v>494104</v>
      </c>
      <c r="H22" s="78">
        <f t="shared" si="8"/>
        <v>353861</v>
      </c>
      <c r="I22" s="78">
        <f t="shared" si="8"/>
        <v>518768</v>
      </c>
      <c r="J22" s="78">
        <f t="shared" si="8"/>
        <v>136456</v>
      </c>
      <c r="K22" s="78">
        <f t="shared" si="8"/>
        <v>292807</v>
      </c>
      <c r="L22" s="78">
        <f t="shared" si="8"/>
        <v>3587946</v>
      </c>
      <c r="M22" s="97"/>
      <c r="N22" s="78">
        <f t="shared" si="8"/>
        <v>0</v>
      </c>
      <c r="O22" s="78">
        <f t="shared" si="8"/>
        <v>1232875</v>
      </c>
      <c r="P22" s="78">
        <f t="shared" si="8"/>
        <v>0</v>
      </c>
      <c r="Q22" s="78">
        <f t="shared" si="8"/>
        <v>0</v>
      </c>
      <c r="R22" s="78">
        <f t="shared" si="8"/>
        <v>0</v>
      </c>
      <c r="S22" s="78">
        <f t="shared" si="8"/>
        <v>128344</v>
      </c>
      <c r="T22" s="78">
        <f t="shared" si="8"/>
        <v>0</v>
      </c>
      <c r="U22" s="78">
        <f t="shared" si="8"/>
        <v>8068</v>
      </c>
      <c r="V22" s="78">
        <f t="shared" si="8"/>
        <v>0</v>
      </c>
      <c r="W22" s="78">
        <f t="shared" si="8"/>
        <v>0</v>
      </c>
      <c r="X22" s="78">
        <f t="shared" si="8"/>
        <v>0</v>
      </c>
      <c r="Y22" s="78">
        <f t="shared" si="8"/>
        <v>282565</v>
      </c>
      <c r="Z22" s="78">
        <f t="shared" si="8"/>
        <v>382118</v>
      </c>
      <c r="AA22" s="98">
        <f t="shared" si="8"/>
        <v>0</v>
      </c>
      <c r="AB22" s="78">
        <f t="shared" si="8"/>
        <v>0</v>
      </c>
      <c r="AC22" s="78">
        <f t="shared" si="8"/>
        <v>1362137</v>
      </c>
      <c r="AD22" s="78">
        <f t="shared" si="8"/>
        <v>0</v>
      </c>
      <c r="AE22" s="78">
        <f t="shared" si="8"/>
        <v>0</v>
      </c>
      <c r="AF22" s="78">
        <f t="shared" si="8"/>
        <v>0</v>
      </c>
      <c r="AG22" s="99">
        <f t="shared" si="8"/>
        <v>871070</v>
      </c>
      <c r="AH22" s="78">
        <f t="shared" si="8"/>
        <v>0</v>
      </c>
      <c r="AI22" s="78">
        <f t="shared" si="8"/>
        <v>0</v>
      </c>
      <c r="AJ22" s="78">
        <f t="shared" si="8"/>
        <v>0</v>
      </c>
      <c r="AK22" s="78">
        <f t="shared" si="8"/>
        <v>294366</v>
      </c>
      <c r="AL22" s="78">
        <f t="shared" si="8"/>
        <v>0</v>
      </c>
      <c r="AM22" s="78">
        <f t="shared" si="8"/>
        <v>32789</v>
      </c>
      <c r="AN22" s="78">
        <f t="shared" si="8"/>
        <v>0</v>
      </c>
      <c r="AO22" s="99">
        <f t="shared" si="8"/>
        <v>290347</v>
      </c>
      <c r="AP22" s="78">
        <f t="shared" si="8"/>
        <v>0</v>
      </c>
      <c r="AQ22" s="78">
        <f t="shared" si="8"/>
        <v>131653</v>
      </c>
      <c r="AR22" s="78">
        <f t="shared" si="8"/>
        <v>0</v>
      </c>
      <c r="AS22" s="78">
        <f t="shared" si="8"/>
        <v>579377</v>
      </c>
      <c r="AT22" s="78">
        <f t="shared" si="8"/>
        <v>0</v>
      </c>
      <c r="AU22" s="78">
        <f t="shared" si="8"/>
        <v>1015223</v>
      </c>
      <c r="AV22" s="78">
        <f t="shared" si="8"/>
        <v>0</v>
      </c>
      <c r="AW22" s="78">
        <f t="shared" si="8"/>
        <v>1407740</v>
      </c>
      <c r="AX22" s="78">
        <f t="shared" si="8"/>
        <v>8018672</v>
      </c>
      <c r="AY22" s="97"/>
      <c r="AZ22" s="78">
        <f t="shared" si="8"/>
        <v>293597</v>
      </c>
      <c r="BA22" s="97"/>
      <c r="BB22" s="100">
        <f>SUM(BB8:BB21)</f>
        <v>11900215</v>
      </c>
      <c r="BC22" s="31"/>
      <c r="BD22" s="30">
        <f>SUM(BD8:BD21)</f>
        <v>382118</v>
      </c>
      <c r="BE22" s="30">
        <f>SUM(BE8:BE21)</f>
        <v>7636554</v>
      </c>
      <c r="BF22" s="31"/>
      <c r="BG22" s="19"/>
      <c r="BH22" s="20"/>
      <c r="BI22" s="134"/>
      <c r="BJ22" s="5"/>
      <c r="BK22" s="5"/>
      <c r="BL22" s="78">
        <f>SUM(BL8:BL21)</f>
        <v>373110</v>
      </c>
      <c r="BM22" s="78">
        <f>SUM(BM8:BM21)</f>
        <v>7645562</v>
      </c>
      <c r="BN22" s="78">
        <f>SUM(BN8:BN21)</f>
        <v>8435617.0406600013</v>
      </c>
      <c r="BO22" s="143"/>
      <c r="BP22" s="143"/>
      <c r="BQ22" s="7"/>
      <c r="BR22" s="5"/>
      <c r="BS22" s="5"/>
      <c r="BT22" s="5"/>
    </row>
    <row r="23" spans="1:72" x14ac:dyDescent="0.25">
      <c r="B23" s="142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9"/>
      <c r="O23" s="79"/>
      <c r="P23" s="75"/>
      <c r="Q23" s="75"/>
      <c r="R23" s="79"/>
      <c r="S23" s="79"/>
      <c r="T23" s="75"/>
      <c r="U23" s="75"/>
      <c r="V23" s="79"/>
      <c r="W23" s="79"/>
      <c r="X23" s="112"/>
      <c r="Y23" s="112"/>
      <c r="Z23" s="79"/>
      <c r="AA23" s="80"/>
      <c r="AB23" s="112"/>
      <c r="AC23" s="112"/>
      <c r="AD23" s="81"/>
      <c r="AE23" s="81"/>
      <c r="AF23" s="79"/>
      <c r="AG23" s="114"/>
      <c r="AH23" s="82"/>
      <c r="AI23" s="82"/>
      <c r="AJ23" s="112"/>
      <c r="AK23" s="112"/>
      <c r="AL23" s="79"/>
      <c r="AM23" s="79"/>
      <c r="AN23" s="112"/>
      <c r="AO23" s="116"/>
      <c r="AP23" s="79"/>
      <c r="AQ23" s="79"/>
      <c r="AR23" s="112"/>
      <c r="AS23" s="112"/>
      <c r="AT23" s="79"/>
      <c r="AU23" s="79"/>
      <c r="AV23" s="112"/>
      <c r="AW23" s="112"/>
      <c r="AX23" s="75"/>
      <c r="AY23" s="75"/>
      <c r="AZ23" s="75"/>
      <c r="BA23" s="75"/>
      <c r="BB23" s="83"/>
      <c r="BG23" s="19"/>
      <c r="BH23" s="20"/>
      <c r="BI23" s="134"/>
      <c r="BL23" s="75"/>
      <c r="BM23" s="75"/>
      <c r="BN23" s="75"/>
      <c r="BQ23" s="7"/>
    </row>
    <row r="24" spans="1:72" x14ac:dyDescent="0.25">
      <c r="A24" s="142">
        <v>50301</v>
      </c>
      <c r="B24" s="35" t="s">
        <v>54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f t="shared" ref="L24:L78" si="9">+SUM(C24:K24)</f>
        <v>0</v>
      </c>
      <c r="M24" s="75"/>
      <c r="N24" s="79">
        <v>0</v>
      </c>
      <c r="O24" s="79">
        <v>0</v>
      </c>
      <c r="P24" s="75">
        <v>0</v>
      </c>
      <c r="Q24" s="75">
        <v>0</v>
      </c>
      <c r="R24" s="79">
        <v>0</v>
      </c>
      <c r="S24" s="79">
        <v>0</v>
      </c>
      <c r="T24" s="75">
        <v>0</v>
      </c>
      <c r="U24" s="75">
        <v>0</v>
      </c>
      <c r="V24" s="79">
        <v>0</v>
      </c>
      <c r="W24" s="79">
        <v>0</v>
      </c>
      <c r="X24" s="112">
        <v>0</v>
      </c>
      <c r="Y24" s="112">
        <v>0</v>
      </c>
      <c r="Z24" s="79">
        <v>0</v>
      </c>
      <c r="AA24" s="80">
        <v>0</v>
      </c>
      <c r="AB24" s="112">
        <v>0</v>
      </c>
      <c r="AC24" s="112">
        <v>0</v>
      </c>
      <c r="AD24" s="81">
        <v>0</v>
      </c>
      <c r="AE24" s="81">
        <v>0</v>
      </c>
      <c r="AF24" s="79">
        <v>0</v>
      </c>
      <c r="AG24" s="114">
        <v>0</v>
      </c>
      <c r="AH24" s="82">
        <v>0</v>
      </c>
      <c r="AI24" s="82">
        <v>0</v>
      </c>
      <c r="AJ24" s="112">
        <v>0</v>
      </c>
      <c r="AK24" s="112">
        <v>0</v>
      </c>
      <c r="AL24" s="79">
        <v>0</v>
      </c>
      <c r="AM24" s="79">
        <v>0</v>
      </c>
      <c r="AN24" s="112">
        <v>0</v>
      </c>
      <c r="AO24" s="116">
        <v>0</v>
      </c>
      <c r="AP24" s="79">
        <v>0</v>
      </c>
      <c r="AQ24" s="79">
        <v>0</v>
      </c>
      <c r="AR24" s="112">
        <v>0</v>
      </c>
      <c r="AS24" s="112">
        <v>0</v>
      </c>
      <c r="AT24" s="79">
        <v>0</v>
      </c>
      <c r="AU24" s="79">
        <v>0</v>
      </c>
      <c r="AV24" s="112">
        <v>0</v>
      </c>
      <c r="AW24" s="112">
        <v>0</v>
      </c>
      <c r="AX24" s="75">
        <f t="shared" ref="AX24:AX55" si="10">SUM(N24:AW24)</f>
        <v>0</v>
      </c>
      <c r="AY24" s="75"/>
      <c r="AZ24" s="75">
        <v>0</v>
      </c>
      <c r="BA24" s="75"/>
      <c r="BB24" s="83">
        <f t="shared" ref="BB24:BB78" si="11">L24+AX24+AZ24</f>
        <v>0</v>
      </c>
      <c r="BD24" s="124">
        <f t="shared" ref="BD24:BD78" si="12">+AV24+AT24+AR24+AP24+AN24+AL24+AJ24+AH24+AF24+AD24+AB24+AA24+Z24+X24+V24+T24+R24+P24+N24</f>
        <v>0</v>
      </c>
      <c r="BE24" s="124">
        <f t="shared" ref="BE24:BE78" si="13">AW24+AU24+AS24+AQ24+AO24+AM24+AK24+AI24+AG24+AE24+AC24+Y24+U24+S24+Q24+O24</f>
        <v>0</v>
      </c>
      <c r="BG24" s="19"/>
      <c r="BH24" s="20"/>
      <c r="BI24" s="134"/>
      <c r="BL24" s="75"/>
      <c r="BM24" s="75">
        <v>0</v>
      </c>
      <c r="BN24" s="75">
        <f>BM24*(1+BO24)</f>
        <v>0</v>
      </c>
      <c r="BO24" s="143">
        <v>1.78E-2</v>
      </c>
      <c r="BQ24" s="7"/>
    </row>
    <row r="25" spans="1:72" x14ac:dyDescent="0.25">
      <c r="A25" s="142">
        <v>50302</v>
      </c>
      <c r="B25" s="35" t="s">
        <v>55</v>
      </c>
      <c r="C25" s="75">
        <v>0</v>
      </c>
      <c r="D25" s="75">
        <v>0</v>
      </c>
      <c r="E25" s="75">
        <v>0</v>
      </c>
      <c r="F25" s="75">
        <v>1000</v>
      </c>
      <c r="G25" s="75">
        <v>0</v>
      </c>
      <c r="H25" s="75">
        <v>65850</v>
      </c>
      <c r="I25" s="75">
        <v>0</v>
      </c>
      <c r="J25" s="75">
        <v>7500</v>
      </c>
      <c r="K25" s="75">
        <v>0</v>
      </c>
      <c r="L25" s="75">
        <f t="shared" si="9"/>
        <v>74350</v>
      </c>
      <c r="M25" s="75"/>
      <c r="N25" s="79">
        <v>0</v>
      </c>
      <c r="O25" s="79">
        <v>0</v>
      </c>
      <c r="P25" s="75">
        <v>0</v>
      </c>
      <c r="Q25" s="75">
        <v>0</v>
      </c>
      <c r="R25" s="79">
        <v>0</v>
      </c>
      <c r="S25" s="79">
        <v>0</v>
      </c>
      <c r="T25" s="75">
        <v>0</v>
      </c>
      <c r="U25" s="75">
        <v>0</v>
      </c>
      <c r="V25" s="79">
        <v>0</v>
      </c>
      <c r="W25" s="79">
        <v>0</v>
      </c>
      <c r="X25" s="112">
        <v>0</v>
      </c>
      <c r="Y25" s="112">
        <v>4800</v>
      </c>
      <c r="Z25" s="79">
        <v>0</v>
      </c>
      <c r="AA25" s="80">
        <v>0</v>
      </c>
      <c r="AB25" s="112">
        <v>0</v>
      </c>
      <c r="AC25" s="112">
        <v>0</v>
      </c>
      <c r="AD25" s="81">
        <v>0</v>
      </c>
      <c r="AE25" s="81">
        <v>0</v>
      </c>
      <c r="AF25" s="79">
        <v>0</v>
      </c>
      <c r="AG25" s="114">
        <v>0</v>
      </c>
      <c r="AH25" s="82">
        <v>0</v>
      </c>
      <c r="AI25" s="82">
        <v>0</v>
      </c>
      <c r="AJ25" s="112">
        <v>0</v>
      </c>
      <c r="AK25" s="112">
        <v>0</v>
      </c>
      <c r="AL25" s="79">
        <v>0</v>
      </c>
      <c r="AM25" s="79">
        <v>0</v>
      </c>
      <c r="AN25" s="112">
        <v>0</v>
      </c>
      <c r="AO25" s="116">
        <v>0</v>
      </c>
      <c r="AP25" s="79">
        <v>0</v>
      </c>
      <c r="AQ25" s="79">
        <v>0</v>
      </c>
      <c r="AR25" s="112">
        <v>0</v>
      </c>
      <c r="AS25" s="112">
        <v>0</v>
      </c>
      <c r="AT25" s="79">
        <v>0</v>
      </c>
      <c r="AU25" s="79">
        <v>0</v>
      </c>
      <c r="AV25" s="112">
        <v>0</v>
      </c>
      <c r="AW25" s="112">
        <v>0</v>
      </c>
      <c r="AX25" s="75">
        <f t="shared" si="10"/>
        <v>4800</v>
      </c>
      <c r="AY25" s="75"/>
      <c r="AZ25" s="75">
        <v>0</v>
      </c>
      <c r="BA25" s="75"/>
      <c r="BB25" s="118">
        <f t="shared" si="11"/>
        <v>79150</v>
      </c>
      <c r="BD25" s="124">
        <f t="shared" si="12"/>
        <v>0</v>
      </c>
      <c r="BE25" s="124">
        <f t="shared" si="13"/>
        <v>4800</v>
      </c>
      <c r="BG25" s="23"/>
      <c r="BH25" s="20"/>
      <c r="BI25" s="136"/>
      <c r="BL25" s="75"/>
      <c r="BM25" s="75">
        <v>4800</v>
      </c>
      <c r="BN25" s="75">
        <f t="shared" ref="BN25:BN78" si="14">BM25*(1+BO25)</f>
        <v>4885.4400000000005</v>
      </c>
      <c r="BO25" s="143">
        <v>1.78E-2</v>
      </c>
      <c r="BQ25" s="7"/>
    </row>
    <row r="26" spans="1:72" x14ac:dyDescent="0.25">
      <c r="A26" s="142">
        <v>50305</v>
      </c>
      <c r="B26" s="35" t="s">
        <v>56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f t="shared" si="9"/>
        <v>0</v>
      </c>
      <c r="M26" s="75"/>
      <c r="N26" s="79">
        <v>0</v>
      </c>
      <c r="O26" s="79">
        <v>0</v>
      </c>
      <c r="P26" s="75">
        <v>0</v>
      </c>
      <c r="Q26" s="75">
        <v>0</v>
      </c>
      <c r="R26" s="79">
        <v>0</v>
      </c>
      <c r="S26" s="79">
        <v>0</v>
      </c>
      <c r="T26" s="75">
        <v>0</v>
      </c>
      <c r="U26" s="75">
        <v>0</v>
      </c>
      <c r="V26" s="79">
        <v>0</v>
      </c>
      <c r="W26" s="79">
        <v>0</v>
      </c>
      <c r="X26" s="112">
        <v>0</v>
      </c>
      <c r="Y26" s="112">
        <v>0</v>
      </c>
      <c r="Z26" s="79">
        <v>0</v>
      </c>
      <c r="AA26" s="80">
        <v>0</v>
      </c>
      <c r="AB26" s="112">
        <v>0</v>
      </c>
      <c r="AC26" s="112">
        <v>0</v>
      </c>
      <c r="AD26" s="81">
        <v>0</v>
      </c>
      <c r="AE26" s="81">
        <v>0</v>
      </c>
      <c r="AF26" s="79">
        <v>0</v>
      </c>
      <c r="AG26" s="114">
        <v>0</v>
      </c>
      <c r="AH26" s="82">
        <v>0</v>
      </c>
      <c r="AI26" s="82">
        <v>0</v>
      </c>
      <c r="AJ26" s="112">
        <v>0</v>
      </c>
      <c r="AK26" s="112">
        <v>0</v>
      </c>
      <c r="AL26" s="79">
        <v>0</v>
      </c>
      <c r="AM26" s="79">
        <v>0</v>
      </c>
      <c r="AN26" s="112">
        <v>0</v>
      </c>
      <c r="AO26" s="116">
        <v>0</v>
      </c>
      <c r="AP26" s="79">
        <v>0</v>
      </c>
      <c r="AQ26" s="79">
        <v>0</v>
      </c>
      <c r="AR26" s="112">
        <v>0</v>
      </c>
      <c r="AS26" s="112">
        <v>0</v>
      </c>
      <c r="AT26" s="79">
        <v>0</v>
      </c>
      <c r="AU26" s="79">
        <v>0</v>
      </c>
      <c r="AV26" s="112">
        <v>4800</v>
      </c>
      <c r="AW26" s="112">
        <v>0</v>
      </c>
      <c r="AX26" s="75">
        <f t="shared" si="10"/>
        <v>4800</v>
      </c>
      <c r="AY26" s="75"/>
      <c r="AZ26" s="75">
        <v>0</v>
      </c>
      <c r="BA26" s="75"/>
      <c r="BB26" s="118">
        <f t="shared" si="11"/>
        <v>4800</v>
      </c>
      <c r="BD26" s="124">
        <f t="shared" si="12"/>
        <v>4800</v>
      </c>
      <c r="BE26" s="124">
        <f t="shared" si="13"/>
        <v>0</v>
      </c>
      <c r="BG26" s="23"/>
      <c r="BH26" s="20"/>
      <c r="BI26" s="32"/>
      <c r="BL26" s="75"/>
      <c r="BM26" s="75">
        <v>4800</v>
      </c>
      <c r="BN26" s="75">
        <f t="shared" si="14"/>
        <v>4885.4400000000005</v>
      </c>
      <c r="BO26" s="143">
        <v>1.78E-2</v>
      </c>
      <c r="BQ26" s="26"/>
    </row>
    <row r="27" spans="1:72" x14ac:dyDescent="0.25">
      <c r="A27" s="142">
        <v>50306</v>
      </c>
      <c r="B27" s="35" t="s">
        <v>57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f t="shared" si="9"/>
        <v>0</v>
      </c>
      <c r="M27" s="75"/>
      <c r="N27" s="79">
        <v>0</v>
      </c>
      <c r="O27" s="79">
        <v>7383</v>
      </c>
      <c r="P27" s="75">
        <v>0</v>
      </c>
      <c r="Q27" s="75">
        <v>0</v>
      </c>
      <c r="R27" s="79">
        <v>0</v>
      </c>
      <c r="S27" s="79">
        <v>1180</v>
      </c>
      <c r="T27" s="75">
        <v>0</v>
      </c>
      <c r="U27" s="75">
        <f>150+300</f>
        <v>450</v>
      </c>
      <c r="V27" s="79">
        <v>0</v>
      </c>
      <c r="W27" s="79">
        <v>0</v>
      </c>
      <c r="X27" s="112">
        <v>0</v>
      </c>
      <c r="Y27" s="112">
        <v>0</v>
      </c>
      <c r="Z27" s="79">
        <v>0</v>
      </c>
      <c r="AA27" s="80">
        <v>0</v>
      </c>
      <c r="AB27" s="112">
        <v>0</v>
      </c>
      <c r="AC27" s="112">
        <v>8659</v>
      </c>
      <c r="AD27" s="81">
        <v>0</v>
      </c>
      <c r="AE27" s="81">
        <v>0</v>
      </c>
      <c r="AF27" s="79">
        <v>0</v>
      </c>
      <c r="AG27" s="114">
        <v>6360</v>
      </c>
      <c r="AH27" s="82">
        <v>0</v>
      </c>
      <c r="AI27" s="82">
        <v>0</v>
      </c>
      <c r="AJ27" s="112">
        <v>0</v>
      </c>
      <c r="AK27" s="112">
        <v>1826</v>
      </c>
      <c r="AL27" s="79">
        <v>0</v>
      </c>
      <c r="AM27" s="79">
        <v>231</v>
      </c>
      <c r="AN27" s="112">
        <v>0</v>
      </c>
      <c r="AO27" s="116">
        <v>1246</v>
      </c>
      <c r="AP27" s="79">
        <v>0</v>
      </c>
      <c r="AQ27" s="79">
        <v>1911</v>
      </c>
      <c r="AR27" s="112">
        <v>0</v>
      </c>
      <c r="AS27" s="112">
        <v>0</v>
      </c>
      <c r="AT27" s="79">
        <v>0</v>
      </c>
      <c r="AU27" s="79">
        <v>0</v>
      </c>
      <c r="AV27" s="112">
        <v>0</v>
      </c>
      <c r="AW27" s="112">
        <v>13500</v>
      </c>
      <c r="AX27" s="75">
        <f t="shared" si="10"/>
        <v>42746</v>
      </c>
      <c r="AY27" s="75"/>
      <c r="AZ27" s="75">
        <v>0</v>
      </c>
      <c r="BA27" s="75"/>
      <c r="BB27" s="118">
        <f t="shared" si="11"/>
        <v>42746</v>
      </c>
      <c r="BD27" s="124">
        <f t="shared" si="12"/>
        <v>0</v>
      </c>
      <c r="BE27" s="124">
        <f t="shared" si="13"/>
        <v>42746</v>
      </c>
      <c r="BG27" s="142"/>
      <c r="BH27" s="142"/>
      <c r="BI27" s="142"/>
      <c r="BL27" s="75"/>
      <c r="BM27" s="75">
        <v>42446</v>
      </c>
      <c r="BN27" s="75">
        <f t="shared" si="14"/>
        <v>43201.538800000002</v>
      </c>
      <c r="BO27" s="143">
        <v>1.78E-2</v>
      </c>
      <c r="BQ27" s="7"/>
    </row>
    <row r="28" spans="1:72" x14ac:dyDescent="0.25">
      <c r="A28" s="142">
        <v>50307</v>
      </c>
      <c r="B28" s="35" t="s">
        <v>58</v>
      </c>
      <c r="C28" s="75">
        <v>0</v>
      </c>
      <c r="D28" s="75">
        <v>0</v>
      </c>
      <c r="E28" s="75">
        <v>0</v>
      </c>
      <c r="F28" s="75">
        <v>15000</v>
      </c>
      <c r="G28" s="75">
        <v>0</v>
      </c>
      <c r="H28" s="75">
        <v>0</v>
      </c>
      <c r="I28" s="75">
        <v>0</v>
      </c>
      <c r="J28" s="75">
        <v>2400</v>
      </c>
      <c r="K28" s="75">
        <v>0</v>
      </c>
      <c r="L28" s="75">
        <f t="shared" si="9"/>
        <v>17400</v>
      </c>
      <c r="M28" s="75"/>
      <c r="N28" s="79">
        <v>0</v>
      </c>
      <c r="O28" s="79">
        <v>0</v>
      </c>
      <c r="P28" s="75">
        <v>0</v>
      </c>
      <c r="Q28" s="75">
        <v>0</v>
      </c>
      <c r="R28" s="79">
        <v>0</v>
      </c>
      <c r="S28" s="79">
        <v>0</v>
      </c>
      <c r="T28" s="75">
        <v>0</v>
      </c>
      <c r="U28" s="75">
        <v>0</v>
      </c>
      <c r="V28" s="79">
        <v>0</v>
      </c>
      <c r="W28" s="79">
        <v>0</v>
      </c>
      <c r="X28" s="112">
        <v>0</v>
      </c>
      <c r="Y28" s="112">
        <v>44300</v>
      </c>
      <c r="Z28" s="79">
        <v>0</v>
      </c>
      <c r="AA28" s="80">
        <v>0</v>
      </c>
      <c r="AB28" s="112">
        <v>0</v>
      </c>
      <c r="AC28" s="112">
        <v>0</v>
      </c>
      <c r="AD28" s="81">
        <v>0</v>
      </c>
      <c r="AE28" s="81">
        <v>0</v>
      </c>
      <c r="AF28" s="79">
        <v>0</v>
      </c>
      <c r="AG28" s="114">
        <v>0</v>
      </c>
      <c r="AH28" s="82">
        <v>0</v>
      </c>
      <c r="AI28" s="82">
        <v>0</v>
      </c>
      <c r="AJ28" s="112">
        <v>0</v>
      </c>
      <c r="AK28" s="112">
        <v>0</v>
      </c>
      <c r="AL28" s="79">
        <v>0</v>
      </c>
      <c r="AM28" s="79">
        <v>0</v>
      </c>
      <c r="AN28" s="112">
        <v>0</v>
      </c>
      <c r="AO28" s="116">
        <v>0</v>
      </c>
      <c r="AP28" s="79">
        <v>0</v>
      </c>
      <c r="AQ28" s="79">
        <v>0</v>
      </c>
      <c r="AR28" s="112">
        <v>0</v>
      </c>
      <c r="AS28" s="112">
        <v>0</v>
      </c>
      <c r="AT28" s="79">
        <v>0</v>
      </c>
      <c r="AU28" s="79">
        <v>0</v>
      </c>
      <c r="AV28" s="112">
        <v>0</v>
      </c>
      <c r="AW28" s="112">
        <v>0</v>
      </c>
      <c r="AX28" s="75">
        <f t="shared" si="10"/>
        <v>44300</v>
      </c>
      <c r="AY28" s="75"/>
      <c r="AZ28" s="75">
        <v>0</v>
      </c>
      <c r="BA28" s="75"/>
      <c r="BB28" s="118">
        <f t="shared" si="11"/>
        <v>61700</v>
      </c>
      <c r="BD28" s="124">
        <f t="shared" si="12"/>
        <v>0</v>
      </c>
      <c r="BE28" s="124">
        <f t="shared" si="13"/>
        <v>44300</v>
      </c>
      <c r="BG28" s="23"/>
      <c r="BH28" s="20"/>
      <c r="BI28" s="21"/>
      <c r="BL28" s="75"/>
      <c r="BM28" s="75">
        <v>44300</v>
      </c>
      <c r="BN28" s="75">
        <f t="shared" si="14"/>
        <v>45088.54</v>
      </c>
      <c r="BO28" s="143">
        <v>1.78E-2</v>
      </c>
      <c r="BQ28" s="7"/>
    </row>
    <row r="29" spans="1:72" x14ac:dyDescent="0.25">
      <c r="A29" s="142">
        <v>50308</v>
      </c>
      <c r="B29" s="35" t="s">
        <v>59</v>
      </c>
      <c r="C29" s="75">
        <v>0</v>
      </c>
      <c r="D29" s="75">
        <v>0</v>
      </c>
      <c r="E29" s="75">
        <v>0</v>
      </c>
      <c r="F29" s="75">
        <v>66840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f t="shared" si="9"/>
        <v>66840</v>
      </c>
      <c r="M29" s="75"/>
      <c r="N29" s="79">
        <v>0</v>
      </c>
      <c r="O29" s="79">
        <v>0</v>
      </c>
      <c r="P29" s="75">
        <v>0</v>
      </c>
      <c r="Q29" s="75">
        <v>0</v>
      </c>
      <c r="R29" s="79">
        <v>0</v>
      </c>
      <c r="S29" s="79">
        <v>0</v>
      </c>
      <c r="T29" s="75">
        <v>0</v>
      </c>
      <c r="U29" s="75">
        <v>0</v>
      </c>
      <c r="V29" s="79">
        <v>0</v>
      </c>
      <c r="W29" s="79">
        <v>0</v>
      </c>
      <c r="X29" s="112">
        <v>0</v>
      </c>
      <c r="Y29" s="112">
        <v>0</v>
      </c>
      <c r="Z29" s="79">
        <v>0</v>
      </c>
      <c r="AA29" s="80">
        <v>0</v>
      </c>
      <c r="AB29" s="112">
        <v>0</v>
      </c>
      <c r="AC29" s="112">
        <v>0</v>
      </c>
      <c r="AD29" s="81">
        <v>0</v>
      </c>
      <c r="AE29" s="81">
        <v>0</v>
      </c>
      <c r="AF29" s="79">
        <v>0</v>
      </c>
      <c r="AG29" s="114">
        <v>0</v>
      </c>
      <c r="AH29" s="82">
        <v>0</v>
      </c>
      <c r="AI29" s="82">
        <v>0</v>
      </c>
      <c r="AJ29" s="112">
        <v>0</v>
      </c>
      <c r="AK29" s="112">
        <v>0</v>
      </c>
      <c r="AL29" s="79">
        <v>0</v>
      </c>
      <c r="AM29" s="79">
        <v>0</v>
      </c>
      <c r="AN29" s="112">
        <v>0</v>
      </c>
      <c r="AO29" s="116">
        <v>0</v>
      </c>
      <c r="AP29" s="79">
        <v>0</v>
      </c>
      <c r="AQ29" s="79">
        <v>0</v>
      </c>
      <c r="AR29" s="112">
        <v>0</v>
      </c>
      <c r="AS29" s="112">
        <v>0</v>
      </c>
      <c r="AT29" s="79">
        <v>0</v>
      </c>
      <c r="AU29" s="79">
        <v>0</v>
      </c>
      <c r="AV29" s="112">
        <v>0</v>
      </c>
      <c r="AW29" s="112">
        <v>0</v>
      </c>
      <c r="AX29" s="75">
        <f t="shared" si="10"/>
        <v>0</v>
      </c>
      <c r="AY29" s="75"/>
      <c r="AZ29" s="75">
        <v>0</v>
      </c>
      <c r="BA29" s="75"/>
      <c r="BB29" s="118">
        <f t="shared" si="11"/>
        <v>66840</v>
      </c>
      <c r="BD29" s="124">
        <f t="shared" si="12"/>
        <v>0</v>
      </c>
      <c r="BE29" s="124">
        <f t="shared" si="13"/>
        <v>0</v>
      </c>
      <c r="BG29" s="19"/>
      <c r="BH29" s="20"/>
      <c r="BI29" s="21"/>
      <c r="BL29" s="75"/>
      <c r="BM29" s="75">
        <v>0</v>
      </c>
      <c r="BN29" s="75">
        <f t="shared" si="14"/>
        <v>0</v>
      </c>
      <c r="BO29" s="143">
        <v>1.78E-2</v>
      </c>
      <c r="BQ29" s="7"/>
    </row>
    <row r="30" spans="1:72" x14ac:dyDescent="0.25">
      <c r="A30" s="142">
        <v>50309</v>
      </c>
      <c r="B30" s="35" t="s">
        <v>60</v>
      </c>
      <c r="C30" s="75">
        <f>298000-24860-38000</f>
        <v>235140</v>
      </c>
      <c r="D30" s="75">
        <v>0</v>
      </c>
      <c r="E30" s="75">
        <f>16000+333500+583333</f>
        <v>932833</v>
      </c>
      <c r="F30" s="75">
        <f>175960+30600+24860</f>
        <v>231420</v>
      </c>
      <c r="G30" s="75">
        <f>200000+400000</f>
        <v>600000</v>
      </c>
      <c r="H30" s="75">
        <f>101800+95000</f>
        <v>196800</v>
      </c>
      <c r="I30" s="75">
        <v>0</v>
      </c>
      <c r="J30" s="75">
        <v>28000</v>
      </c>
      <c r="K30" s="75">
        <v>34592</v>
      </c>
      <c r="L30" s="75">
        <f t="shared" si="9"/>
        <v>2258785</v>
      </c>
      <c r="M30" s="75"/>
      <c r="N30" s="79">
        <v>0</v>
      </c>
      <c r="O30" s="79">
        <v>0</v>
      </c>
      <c r="P30" s="75">
        <v>0</v>
      </c>
      <c r="Q30" s="75">
        <v>0</v>
      </c>
      <c r="R30" s="79">
        <v>0</v>
      </c>
      <c r="S30" s="79">
        <v>0</v>
      </c>
      <c r="T30" s="75">
        <v>0</v>
      </c>
      <c r="U30" s="75">
        <v>0</v>
      </c>
      <c r="V30" s="79">
        <v>0</v>
      </c>
      <c r="W30" s="79">
        <v>0</v>
      </c>
      <c r="X30" s="112">
        <v>289440</v>
      </c>
      <c r="Y30" s="112">
        <v>171600</v>
      </c>
      <c r="Z30" s="79">
        <v>0</v>
      </c>
      <c r="AA30" s="80">
        <v>0</v>
      </c>
      <c r="AB30" s="112">
        <v>0</v>
      </c>
      <c r="AC30" s="112">
        <v>0</v>
      </c>
      <c r="AD30" s="81">
        <v>0</v>
      </c>
      <c r="AE30" s="81">
        <v>0</v>
      </c>
      <c r="AF30" s="79">
        <v>0</v>
      </c>
      <c r="AG30" s="114">
        <v>0</v>
      </c>
      <c r="AH30" s="82">
        <v>0</v>
      </c>
      <c r="AI30" s="82">
        <v>0</v>
      </c>
      <c r="AJ30" s="112">
        <v>0</v>
      </c>
      <c r="AK30" s="112">
        <v>0</v>
      </c>
      <c r="AL30" s="79">
        <v>0</v>
      </c>
      <c r="AM30" s="79">
        <v>0</v>
      </c>
      <c r="AN30" s="112">
        <v>0</v>
      </c>
      <c r="AO30" s="116">
        <v>0</v>
      </c>
      <c r="AP30" s="79">
        <v>0</v>
      </c>
      <c r="AQ30" s="79">
        <v>0</v>
      </c>
      <c r="AR30" s="112">
        <v>33000</v>
      </c>
      <c r="AS30" s="112">
        <v>0</v>
      </c>
      <c r="AT30" s="79">
        <v>0</v>
      </c>
      <c r="AU30" s="79">
        <v>0</v>
      </c>
      <c r="AV30" s="112">
        <v>0</v>
      </c>
      <c r="AW30" s="112">
        <v>0</v>
      </c>
      <c r="AX30" s="75">
        <f t="shared" si="10"/>
        <v>494040</v>
      </c>
      <c r="AY30" s="75"/>
      <c r="AZ30" s="75">
        <v>100000</v>
      </c>
      <c r="BA30" s="75"/>
      <c r="BB30" s="118">
        <f t="shared" si="11"/>
        <v>2852825</v>
      </c>
      <c r="BD30" s="124">
        <f t="shared" si="12"/>
        <v>322440</v>
      </c>
      <c r="BE30" s="124">
        <f t="shared" si="13"/>
        <v>171600</v>
      </c>
      <c r="BG30" s="23"/>
      <c r="BH30" s="20"/>
      <c r="BI30" s="21"/>
      <c r="BL30" s="75"/>
      <c r="BM30" s="75">
        <v>494040</v>
      </c>
      <c r="BN30" s="75">
        <f t="shared" si="14"/>
        <v>502833.91200000001</v>
      </c>
      <c r="BO30" s="143">
        <v>1.78E-2</v>
      </c>
      <c r="BQ30" s="7"/>
    </row>
    <row r="31" spans="1:72" x14ac:dyDescent="0.25">
      <c r="A31" s="142">
        <v>50310</v>
      </c>
      <c r="B31" s="35" t="s">
        <v>61</v>
      </c>
      <c r="C31" s="75">
        <v>0</v>
      </c>
      <c r="D31" s="75">
        <v>24880</v>
      </c>
      <c r="E31" s="75"/>
      <c r="F31" s="75">
        <v>100000</v>
      </c>
      <c r="G31" s="75">
        <v>0</v>
      </c>
      <c r="H31" s="75">
        <v>4500</v>
      </c>
      <c r="I31" s="75">
        <v>0</v>
      </c>
      <c r="J31" s="75">
        <v>1000</v>
      </c>
      <c r="K31" s="75">
        <v>0</v>
      </c>
      <c r="L31" s="75">
        <f t="shared" si="9"/>
        <v>130380</v>
      </c>
      <c r="M31" s="75"/>
      <c r="N31" s="79">
        <v>0</v>
      </c>
      <c r="O31" s="79">
        <v>0</v>
      </c>
      <c r="P31" s="75">
        <v>0</v>
      </c>
      <c r="Q31" s="75">
        <v>0</v>
      </c>
      <c r="R31" s="79">
        <v>0</v>
      </c>
      <c r="S31" s="79">
        <v>0</v>
      </c>
      <c r="T31" s="75">
        <v>0</v>
      </c>
      <c r="U31" s="75">
        <v>0</v>
      </c>
      <c r="V31" s="79">
        <v>0</v>
      </c>
      <c r="W31" s="79">
        <v>0</v>
      </c>
      <c r="X31" s="112">
        <v>24540</v>
      </c>
      <c r="Y31" s="112">
        <v>36000</v>
      </c>
      <c r="Z31" s="79">
        <v>0</v>
      </c>
      <c r="AA31" s="80">
        <v>0</v>
      </c>
      <c r="AB31" s="112">
        <v>0</v>
      </c>
      <c r="AC31" s="112">
        <v>0</v>
      </c>
      <c r="AD31" s="81">
        <v>0</v>
      </c>
      <c r="AE31" s="81">
        <v>0</v>
      </c>
      <c r="AF31" s="79">
        <v>0</v>
      </c>
      <c r="AG31" s="114">
        <v>0</v>
      </c>
      <c r="AH31" s="82">
        <v>0</v>
      </c>
      <c r="AI31" s="82">
        <v>0</v>
      </c>
      <c r="AJ31" s="112">
        <v>0</v>
      </c>
      <c r="AK31" s="112">
        <v>0</v>
      </c>
      <c r="AL31" s="79">
        <v>0</v>
      </c>
      <c r="AM31" s="79">
        <v>0</v>
      </c>
      <c r="AN31" s="112">
        <v>0</v>
      </c>
      <c r="AO31" s="116">
        <v>0</v>
      </c>
      <c r="AP31" s="79">
        <v>0</v>
      </c>
      <c r="AQ31" s="79">
        <v>0</v>
      </c>
      <c r="AR31" s="112">
        <v>3360</v>
      </c>
      <c r="AS31" s="112">
        <v>0</v>
      </c>
      <c r="AT31" s="79">
        <v>0</v>
      </c>
      <c r="AU31" s="79">
        <v>0</v>
      </c>
      <c r="AV31" s="112">
        <v>25200</v>
      </c>
      <c r="AW31" s="112">
        <v>0</v>
      </c>
      <c r="AX31" s="75">
        <f t="shared" si="10"/>
        <v>89100</v>
      </c>
      <c r="AY31" s="75"/>
      <c r="AZ31" s="75">
        <v>120000</v>
      </c>
      <c r="BA31" s="75"/>
      <c r="BB31" s="118">
        <f t="shared" si="11"/>
        <v>339480</v>
      </c>
      <c r="BD31" s="124">
        <f t="shared" si="12"/>
        <v>53100</v>
      </c>
      <c r="BE31" s="124">
        <f t="shared" si="13"/>
        <v>36000</v>
      </c>
      <c r="BG31" s="19"/>
      <c r="BH31" s="20"/>
      <c r="BI31" s="21"/>
      <c r="BL31" s="75"/>
      <c r="BM31" s="75">
        <v>89100</v>
      </c>
      <c r="BN31" s="75">
        <f t="shared" si="14"/>
        <v>90685.98000000001</v>
      </c>
      <c r="BO31" s="143">
        <v>1.78E-2</v>
      </c>
      <c r="BQ31" s="7"/>
    </row>
    <row r="32" spans="1:72" x14ac:dyDescent="0.25">
      <c r="A32" s="142">
        <v>50311</v>
      </c>
      <c r="B32" s="35" t="s">
        <v>62</v>
      </c>
      <c r="C32" s="75">
        <v>0</v>
      </c>
      <c r="D32" s="75">
        <v>12900</v>
      </c>
      <c r="E32" s="75">
        <v>0</v>
      </c>
      <c r="F32" s="75">
        <v>0</v>
      </c>
      <c r="G32" s="75">
        <v>500</v>
      </c>
      <c r="H32" s="75">
        <v>87000</v>
      </c>
      <c r="I32" s="75">
        <v>14000</v>
      </c>
      <c r="J32" s="75">
        <v>500</v>
      </c>
      <c r="K32" s="75">
        <v>0</v>
      </c>
      <c r="L32" s="75">
        <f t="shared" si="9"/>
        <v>114900</v>
      </c>
      <c r="M32" s="75"/>
      <c r="N32" s="79">
        <v>0</v>
      </c>
      <c r="O32" s="79">
        <v>0</v>
      </c>
      <c r="P32" s="75">
        <v>0</v>
      </c>
      <c r="Q32" s="75">
        <v>0</v>
      </c>
      <c r="R32" s="79">
        <v>0</v>
      </c>
      <c r="S32" s="79">
        <v>0</v>
      </c>
      <c r="T32" s="75">
        <v>0</v>
      </c>
      <c r="U32" s="75">
        <v>0</v>
      </c>
      <c r="V32" s="79">
        <v>0</v>
      </c>
      <c r="W32" s="79">
        <v>0</v>
      </c>
      <c r="X32" s="112">
        <v>11960</v>
      </c>
      <c r="Y32" s="112">
        <v>3000</v>
      </c>
      <c r="Z32" s="79">
        <v>0</v>
      </c>
      <c r="AA32" s="80">
        <v>0</v>
      </c>
      <c r="AB32" s="112">
        <v>0</v>
      </c>
      <c r="AC32" s="112">
        <v>0</v>
      </c>
      <c r="AD32" s="81">
        <v>0</v>
      </c>
      <c r="AE32" s="81">
        <v>0</v>
      </c>
      <c r="AF32" s="79">
        <v>0</v>
      </c>
      <c r="AG32" s="114">
        <v>0</v>
      </c>
      <c r="AH32" s="82">
        <v>0</v>
      </c>
      <c r="AI32" s="82">
        <v>0</v>
      </c>
      <c r="AJ32" s="112">
        <v>1097</v>
      </c>
      <c r="AK32" s="112">
        <v>0</v>
      </c>
      <c r="AL32" s="79">
        <v>122</v>
      </c>
      <c r="AM32" s="79">
        <v>0</v>
      </c>
      <c r="AN32" s="112">
        <v>782</v>
      </c>
      <c r="AO32" s="116">
        <v>0</v>
      </c>
      <c r="AP32" s="79">
        <v>0</v>
      </c>
      <c r="AQ32" s="79">
        <v>0</v>
      </c>
      <c r="AR32" s="112">
        <v>1284</v>
      </c>
      <c r="AS32" s="112">
        <v>0</v>
      </c>
      <c r="AT32" s="79">
        <v>0</v>
      </c>
      <c r="AU32" s="79">
        <v>0</v>
      </c>
      <c r="AV32" s="112">
        <v>2400</v>
      </c>
      <c r="AW32" s="112">
        <v>0</v>
      </c>
      <c r="AX32" s="75">
        <f t="shared" si="10"/>
        <v>20645</v>
      </c>
      <c r="AY32" s="75"/>
      <c r="AZ32" s="75">
        <v>3000</v>
      </c>
      <c r="BA32" s="75"/>
      <c r="BB32" s="118">
        <f t="shared" si="11"/>
        <v>138545</v>
      </c>
      <c r="BD32" s="124">
        <f t="shared" si="12"/>
        <v>17645</v>
      </c>
      <c r="BE32" s="124">
        <f t="shared" si="13"/>
        <v>3000</v>
      </c>
      <c r="BG32" s="23"/>
      <c r="BH32" s="33"/>
      <c r="BL32" s="75"/>
      <c r="BM32" s="75">
        <v>20645</v>
      </c>
      <c r="BN32" s="75">
        <f t="shared" si="14"/>
        <v>21012.481</v>
      </c>
      <c r="BO32" s="143">
        <v>1.78E-2</v>
      </c>
      <c r="BQ32" s="26"/>
    </row>
    <row r="33" spans="1:70" x14ac:dyDescent="0.25">
      <c r="A33" s="142">
        <v>50312</v>
      </c>
      <c r="B33" s="35" t="s">
        <v>63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33750</v>
      </c>
      <c r="I33" s="75">
        <v>0</v>
      </c>
      <c r="J33" s="75">
        <v>0</v>
      </c>
      <c r="K33" s="75">
        <v>0</v>
      </c>
      <c r="L33" s="75">
        <f t="shared" si="9"/>
        <v>33750</v>
      </c>
      <c r="M33" s="75"/>
      <c r="N33" s="79">
        <v>0</v>
      </c>
      <c r="O33" s="79">
        <v>0</v>
      </c>
      <c r="P33" s="75">
        <v>0</v>
      </c>
      <c r="Q33" s="75">
        <v>0</v>
      </c>
      <c r="R33" s="79">
        <v>0</v>
      </c>
      <c r="S33" s="79">
        <v>0</v>
      </c>
      <c r="T33" s="75">
        <v>0</v>
      </c>
      <c r="U33" s="75">
        <v>0</v>
      </c>
      <c r="V33" s="79">
        <v>0</v>
      </c>
      <c r="W33" s="79">
        <v>0</v>
      </c>
      <c r="X33" s="112">
        <v>0</v>
      </c>
      <c r="Y33" s="112">
        <v>0</v>
      </c>
      <c r="Z33" s="79">
        <v>0</v>
      </c>
      <c r="AA33" s="80">
        <v>0</v>
      </c>
      <c r="AB33" s="112">
        <v>0</v>
      </c>
      <c r="AC33" s="112">
        <v>0</v>
      </c>
      <c r="AD33" s="81">
        <v>0</v>
      </c>
      <c r="AE33" s="81">
        <v>0</v>
      </c>
      <c r="AF33" s="79">
        <v>0</v>
      </c>
      <c r="AG33" s="114">
        <v>0</v>
      </c>
      <c r="AH33" s="82">
        <v>0</v>
      </c>
      <c r="AI33" s="82">
        <v>0</v>
      </c>
      <c r="AJ33" s="112">
        <v>0</v>
      </c>
      <c r="AK33" s="112">
        <v>0</v>
      </c>
      <c r="AL33" s="79">
        <v>0</v>
      </c>
      <c r="AM33" s="79">
        <v>0</v>
      </c>
      <c r="AN33" s="112">
        <v>0</v>
      </c>
      <c r="AO33" s="116">
        <v>0</v>
      </c>
      <c r="AP33" s="79">
        <v>0</v>
      </c>
      <c r="AQ33" s="79">
        <v>0</v>
      </c>
      <c r="AR33" s="112">
        <v>0</v>
      </c>
      <c r="AS33" s="112">
        <v>0</v>
      </c>
      <c r="AT33" s="79">
        <v>0</v>
      </c>
      <c r="AU33" s="79">
        <v>0</v>
      </c>
      <c r="AV33" s="112">
        <v>0</v>
      </c>
      <c r="AW33" s="112">
        <v>0</v>
      </c>
      <c r="AX33" s="75">
        <f t="shared" si="10"/>
        <v>0</v>
      </c>
      <c r="AY33" s="75"/>
      <c r="AZ33" s="75">
        <v>0</v>
      </c>
      <c r="BA33" s="75"/>
      <c r="BB33" s="118">
        <f t="shared" si="11"/>
        <v>33750</v>
      </c>
      <c r="BD33" s="124">
        <f t="shared" si="12"/>
        <v>0</v>
      </c>
      <c r="BE33" s="124">
        <f t="shared" si="13"/>
        <v>0</v>
      </c>
      <c r="BG33" s="34"/>
      <c r="BH33" s="34"/>
      <c r="BI33" s="34"/>
      <c r="BL33" s="75"/>
      <c r="BM33" s="75">
        <v>0</v>
      </c>
      <c r="BN33" s="75">
        <f t="shared" si="14"/>
        <v>0</v>
      </c>
      <c r="BO33" s="143">
        <v>1.78E-2</v>
      </c>
      <c r="BQ33" s="7"/>
    </row>
    <row r="34" spans="1:70" x14ac:dyDescent="0.25">
      <c r="A34" s="142">
        <v>50313</v>
      </c>
      <c r="B34" s="35" t="s">
        <v>64</v>
      </c>
      <c r="C34" s="83">
        <v>0</v>
      </c>
      <c r="D34" s="75">
        <v>8000</v>
      </c>
      <c r="E34" s="75">
        <v>46985</v>
      </c>
      <c r="F34" s="75">
        <v>133490</v>
      </c>
      <c r="G34" s="75">
        <v>1550</v>
      </c>
      <c r="H34" s="75">
        <v>76360</v>
      </c>
      <c r="I34" s="75">
        <v>27000</v>
      </c>
      <c r="J34" s="75">
        <v>0</v>
      </c>
      <c r="K34" s="75">
        <v>179808</v>
      </c>
      <c r="L34" s="75">
        <f t="shared" si="9"/>
        <v>473193</v>
      </c>
      <c r="M34" s="75"/>
      <c r="N34" s="79">
        <v>0</v>
      </c>
      <c r="O34" s="79">
        <v>0</v>
      </c>
      <c r="P34" s="75">
        <v>0</v>
      </c>
      <c r="Q34" s="75">
        <v>0</v>
      </c>
      <c r="R34" s="79">
        <v>0</v>
      </c>
      <c r="S34" s="79">
        <v>0</v>
      </c>
      <c r="T34" s="75">
        <v>0</v>
      </c>
      <c r="U34" s="75">
        <v>0</v>
      </c>
      <c r="V34" s="79">
        <v>0</v>
      </c>
      <c r="W34" s="79">
        <v>0</v>
      </c>
      <c r="X34" s="112">
        <v>95500</v>
      </c>
      <c r="Y34" s="112">
        <v>0</v>
      </c>
      <c r="Z34" s="79">
        <v>0</v>
      </c>
      <c r="AA34" s="80">
        <v>0</v>
      </c>
      <c r="AB34" s="112">
        <v>38207</v>
      </c>
      <c r="AC34" s="112">
        <v>0</v>
      </c>
      <c r="AD34" s="81">
        <v>0</v>
      </c>
      <c r="AE34" s="81">
        <v>0</v>
      </c>
      <c r="AF34" s="79">
        <v>28073</v>
      </c>
      <c r="AG34" s="114">
        <v>0</v>
      </c>
      <c r="AH34" s="82">
        <v>0</v>
      </c>
      <c r="AI34" s="82">
        <v>0</v>
      </c>
      <c r="AJ34" s="112">
        <f>41915+7236</f>
        <v>49151</v>
      </c>
      <c r="AK34" s="112">
        <v>0</v>
      </c>
      <c r="AL34" s="79">
        <v>6211</v>
      </c>
      <c r="AM34" s="79">
        <v>0</v>
      </c>
      <c r="AN34" s="112">
        <f>28376+29381</f>
        <v>57757</v>
      </c>
      <c r="AO34" s="116">
        <v>0</v>
      </c>
      <c r="AP34" s="79">
        <v>0</v>
      </c>
      <c r="AQ34" s="79">
        <v>0</v>
      </c>
      <c r="AR34" s="112">
        <v>0</v>
      </c>
      <c r="AS34" s="112">
        <v>0</v>
      </c>
      <c r="AT34" s="79">
        <v>0</v>
      </c>
      <c r="AU34" s="79">
        <v>0</v>
      </c>
      <c r="AV34" s="112">
        <v>50170</v>
      </c>
      <c r="AW34" s="112">
        <v>0</v>
      </c>
      <c r="AX34" s="75">
        <f t="shared" si="10"/>
        <v>325069</v>
      </c>
      <c r="AY34" s="75"/>
      <c r="AZ34" s="75">
        <v>23500</v>
      </c>
      <c r="BA34" s="75"/>
      <c r="BB34" s="118">
        <f t="shared" si="11"/>
        <v>821762</v>
      </c>
      <c r="BD34" s="124">
        <f t="shared" si="12"/>
        <v>325069</v>
      </c>
      <c r="BE34" s="124">
        <f t="shared" si="13"/>
        <v>0</v>
      </c>
      <c r="BL34" s="75"/>
      <c r="BM34" s="75">
        <v>288452</v>
      </c>
      <c r="BN34" s="75">
        <f t="shared" si="14"/>
        <v>293586.44560000004</v>
      </c>
      <c r="BO34" s="143">
        <v>1.78E-2</v>
      </c>
      <c r="BQ34" s="7"/>
    </row>
    <row r="35" spans="1:70" x14ac:dyDescent="0.25">
      <c r="A35" s="142">
        <v>50315</v>
      </c>
      <c r="B35" s="35" t="s">
        <v>65</v>
      </c>
      <c r="C35" s="75">
        <v>110000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f t="shared" si="9"/>
        <v>110000</v>
      </c>
      <c r="M35" s="75"/>
      <c r="N35" s="79">
        <v>0</v>
      </c>
      <c r="O35" s="79">
        <v>0</v>
      </c>
      <c r="P35" s="75">
        <v>0</v>
      </c>
      <c r="Q35" s="75">
        <v>0</v>
      </c>
      <c r="R35" s="79">
        <v>0</v>
      </c>
      <c r="S35" s="79">
        <v>0</v>
      </c>
      <c r="T35" s="75">
        <v>0</v>
      </c>
      <c r="U35" s="75">
        <v>0</v>
      </c>
      <c r="V35" s="79">
        <v>0</v>
      </c>
      <c r="W35" s="79">
        <v>0</v>
      </c>
      <c r="X35" s="112">
        <v>0</v>
      </c>
      <c r="Y35" s="112">
        <f>90000+7773</f>
        <v>97773</v>
      </c>
      <c r="Z35" s="79">
        <v>0</v>
      </c>
      <c r="AA35" s="80">
        <v>0</v>
      </c>
      <c r="AB35" s="112">
        <v>0</v>
      </c>
      <c r="AC35" s="112">
        <v>0</v>
      </c>
      <c r="AD35" s="81">
        <v>0</v>
      </c>
      <c r="AE35" s="81">
        <v>0</v>
      </c>
      <c r="AF35" s="79">
        <v>0</v>
      </c>
      <c r="AG35" s="114">
        <v>0</v>
      </c>
      <c r="AH35" s="82">
        <v>0</v>
      </c>
      <c r="AI35" s="82">
        <v>0</v>
      </c>
      <c r="AJ35" s="112">
        <v>0</v>
      </c>
      <c r="AK35" s="112">
        <v>0</v>
      </c>
      <c r="AL35" s="79">
        <v>0</v>
      </c>
      <c r="AM35" s="79">
        <v>0</v>
      </c>
      <c r="AN35" s="112">
        <v>0</v>
      </c>
      <c r="AO35" s="116">
        <v>0</v>
      </c>
      <c r="AP35" s="79">
        <v>0</v>
      </c>
      <c r="AQ35" s="79">
        <v>0</v>
      </c>
      <c r="AR35" s="112">
        <v>0</v>
      </c>
      <c r="AS35" s="112">
        <v>0</v>
      </c>
      <c r="AT35" s="79">
        <v>0</v>
      </c>
      <c r="AU35" s="79">
        <v>0</v>
      </c>
      <c r="AV35" s="112">
        <v>0</v>
      </c>
      <c r="AW35" s="112">
        <v>0</v>
      </c>
      <c r="AX35" s="75">
        <f t="shared" si="10"/>
        <v>97773</v>
      </c>
      <c r="AY35" s="75"/>
      <c r="AZ35" s="75">
        <v>0</v>
      </c>
      <c r="BA35" s="75"/>
      <c r="BB35" s="118">
        <f t="shared" si="11"/>
        <v>207773</v>
      </c>
      <c r="BD35" s="124">
        <f t="shared" si="12"/>
        <v>0</v>
      </c>
      <c r="BE35" s="124">
        <f t="shared" si="13"/>
        <v>97773</v>
      </c>
      <c r="BL35" s="75"/>
      <c r="BM35" s="75">
        <v>97773</v>
      </c>
      <c r="BN35" s="75">
        <f t="shared" si="14"/>
        <v>99513.359400000001</v>
      </c>
      <c r="BO35" s="143">
        <v>1.78E-2</v>
      </c>
      <c r="BQ35" s="7"/>
    </row>
    <row r="36" spans="1:70" x14ac:dyDescent="0.25">
      <c r="A36" s="142">
        <v>50316</v>
      </c>
      <c r="B36" s="35" t="s">
        <v>66</v>
      </c>
      <c r="C36" s="75">
        <v>0</v>
      </c>
      <c r="D36" s="75">
        <v>500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f t="shared" si="9"/>
        <v>500</v>
      </c>
      <c r="M36" s="75"/>
      <c r="N36" s="79">
        <v>0</v>
      </c>
      <c r="O36" s="79">
        <v>0</v>
      </c>
      <c r="P36" s="75">
        <v>0</v>
      </c>
      <c r="Q36" s="75">
        <v>0</v>
      </c>
      <c r="R36" s="79">
        <v>0</v>
      </c>
      <c r="S36" s="79">
        <v>0</v>
      </c>
      <c r="T36" s="75">
        <v>0</v>
      </c>
      <c r="U36" s="75">
        <v>0</v>
      </c>
      <c r="V36" s="79">
        <v>0</v>
      </c>
      <c r="W36" s="79">
        <v>0</v>
      </c>
      <c r="X36" s="112">
        <v>0</v>
      </c>
      <c r="Y36" s="112">
        <v>0</v>
      </c>
      <c r="Z36" s="79">
        <v>0</v>
      </c>
      <c r="AA36" s="80">
        <v>0</v>
      </c>
      <c r="AB36" s="112">
        <v>0</v>
      </c>
      <c r="AC36" s="112">
        <v>0</v>
      </c>
      <c r="AD36" s="81">
        <v>0</v>
      </c>
      <c r="AE36" s="81">
        <v>0</v>
      </c>
      <c r="AF36" s="79">
        <v>0</v>
      </c>
      <c r="AG36" s="114">
        <v>0</v>
      </c>
      <c r="AH36" s="82">
        <v>0</v>
      </c>
      <c r="AI36" s="82">
        <v>0</v>
      </c>
      <c r="AJ36" s="112">
        <v>0</v>
      </c>
      <c r="AK36" s="112">
        <v>0</v>
      </c>
      <c r="AL36" s="79">
        <v>0</v>
      </c>
      <c r="AM36" s="79">
        <v>0</v>
      </c>
      <c r="AN36" s="112">
        <v>0</v>
      </c>
      <c r="AO36" s="116">
        <v>0</v>
      </c>
      <c r="AP36" s="79">
        <v>8160</v>
      </c>
      <c r="AQ36" s="79">
        <v>0</v>
      </c>
      <c r="AR36" s="112">
        <v>0</v>
      </c>
      <c r="AS36" s="112">
        <v>0</v>
      </c>
      <c r="AT36" s="79">
        <v>0</v>
      </c>
      <c r="AU36" s="79">
        <v>0</v>
      </c>
      <c r="AV36" s="112">
        <v>107310</v>
      </c>
      <c r="AW36" s="112">
        <v>0</v>
      </c>
      <c r="AX36" s="75">
        <f t="shared" si="10"/>
        <v>115470</v>
      </c>
      <c r="AY36" s="75"/>
      <c r="AZ36" s="75">
        <v>1000</v>
      </c>
      <c r="BA36" s="75"/>
      <c r="BB36" s="118">
        <f t="shared" si="11"/>
        <v>116970</v>
      </c>
      <c r="BD36" s="124">
        <f t="shared" si="12"/>
        <v>115470</v>
      </c>
      <c r="BE36" s="124">
        <f t="shared" si="13"/>
        <v>0</v>
      </c>
      <c r="BL36" s="75"/>
      <c r="BM36" s="75">
        <v>115470</v>
      </c>
      <c r="BN36" s="75">
        <f t="shared" si="14"/>
        <v>117525.36600000001</v>
      </c>
      <c r="BO36" s="143">
        <v>1.78E-2</v>
      </c>
      <c r="BQ36" s="26"/>
    </row>
    <row r="37" spans="1:70" x14ac:dyDescent="0.25">
      <c r="A37" s="142">
        <v>50317</v>
      </c>
      <c r="B37" s="35" t="s">
        <v>67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f t="shared" si="9"/>
        <v>0</v>
      </c>
      <c r="M37" s="75"/>
      <c r="N37" s="79">
        <v>0</v>
      </c>
      <c r="O37" s="79">
        <v>0</v>
      </c>
      <c r="P37" s="75">
        <v>0</v>
      </c>
      <c r="Q37" s="75">
        <v>0</v>
      </c>
      <c r="R37" s="79">
        <v>0</v>
      </c>
      <c r="S37" s="79">
        <v>0</v>
      </c>
      <c r="T37" s="75">
        <v>0</v>
      </c>
      <c r="U37" s="75">
        <v>0</v>
      </c>
      <c r="V37" s="79">
        <v>0</v>
      </c>
      <c r="W37" s="79">
        <v>0</v>
      </c>
      <c r="X37" s="112">
        <v>0</v>
      </c>
      <c r="Y37" s="112">
        <v>0</v>
      </c>
      <c r="Z37" s="79">
        <v>0</v>
      </c>
      <c r="AA37" s="80">
        <v>0</v>
      </c>
      <c r="AB37" s="112">
        <v>0</v>
      </c>
      <c r="AC37" s="112">
        <v>0</v>
      </c>
      <c r="AD37" s="81">
        <v>0</v>
      </c>
      <c r="AE37" s="81">
        <v>0</v>
      </c>
      <c r="AF37" s="79">
        <v>0</v>
      </c>
      <c r="AG37" s="114">
        <v>0</v>
      </c>
      <c r="AH37" s="82">
        <v>0</v>
      </c>
      <c r="AI37" s="82">
        <v>0</v>
      </c>
      <c r="AJ37" s="112">
        <v>0</v>
      </c>
      <c r="AK37" s="112">
        <v>0</v>
      </c>
      <c r="AL37" s="79">
        <v>0</v>
      </c>
      <c r="AM37" s="79">
        <v>0</v>
      </c>
      <c r="AN37" s="112">
        <v>0</v>
      </c>
      <c r="AO37" s="116">
        <v>0</v>
      </c>
      <c r="AP37" s="79">
        <v>0</v>
      </c>
      <c r="AQ37" s="79">
        <v>0</v>
      </c>
      <c r="AR37" s="112">
        <v>0</v>
      </c>
      <c r="AS37" s="112">
        <v>0</v>
      </c>
      <c r="AT37" s="79">
        <v>0</v>
      </c>
      <c r="AU37" s="79">
        <v>0</v>
      </c>
      <c r="AV37" s="112">
        <v>50000</v>
      </c>
      <c r="AW37" s="112">
        <v>0</v>
      </c>
      <c r="AX37" s="75">
        <f t="shared" si="10"/>
        <v>50000</v>
      </c>
      <c r="AY37" s="75"/>
      <c r="AZ37" s="75">
        <v>0</v>
      </c>
      <c r="BA37" s="75"/>
      <c r="BB37" s="118">
        <f t="shared" si="11"/>
        <v>50000</v>
      </c>
      <c r="BD37" s="124">
        <f t="shared" si="12"/>
        <v>50000</v>
      </c>
      <c r="BE37" s="124">
        <f t="shared" si="13"/>
        <v>0</v>
      </c>
      <c r="BL37" s="75"/>
      <c r="BM37" s="75">
        <v>50000</v>
      </c>
      <c r="BN37" s="75">
        <f t="shared" si="14"/>
        <v>50890</v>
      </c>
      <c r="BO37" s="143">
        <v>1.78E-2</v>
      </c>
      <c r="BQ37" s="7"/>
    </row>
    <row r="38" spans="1:70" x14ac:dyDescent="0.25">
      <c r="A38" s="142">
        <v>50318</v>
      </c>
      <c r="B38" s="35" t="s">
        <v>68</v>
      </c>
      <c r="C38" s="75">
        <v>0</v>
      </c>
      <c r="D38" s="75">
        <v>12350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f t="shared" si="9"/>
        <v>12350</v>
      </c>
      <c r="M38" s="75"/>
      <c r="N38" s="79">
        <v>0</v>
      </c>
      <c r="O38" s="79">
        <v>0</v>
      </c>
      <c r="P38" s="75">
        <v>0</v>
      </c>
      <c r="Q38" s="75">
        <v>0</v>
      </c>
      <c r="R38" s="79">
        <v>0</v>
      </c>
      <c r="S38" s="79">
        <v>0</v>
      </c>
      <c r="T38" s="75">
        <v>0</v>
      </c>
      <c r="U38" s="75">
        <v>0</v>
      </c>
      <c r="V38" s="79">
        <v>0</v>
      </c>
      <c r="W38" s="79">
        <v>0</v>
      </c>
      <c r="X38" s="112">
        <f>102420+226471-36617</f>
        <v>292274</v>
      </c>
      <c r="Y38" s="112">
        <v>0</v>
      </c>
      <c r="Z38" s="79">
        <v>0</v>
      </c>
      <c r="AA38" s="80">
        <v>0</v>
      </c>
      <c r="AB38" s="112">
        <v>0</v>
      </c>
      <c r="AC38" s="112">
        <v>0</v>
      </c>
      <c r="AD38" s="81">
        <v>0</v>
      </c>
      <c r="AE38" s="81">
        <v>0</v>
      </c>
      <c r="AF38" s="79">
        <v>0</v>
      </c>
      <c r="AG38" s="114">
        <v>0</v>
      </c>
      <c r="AH38" s="82">
        <v>0</v>
      </c>
      <c r="AI38" s="82">
        <v>0</v>
      </c>
      <c r="AJ38" s="112">
        <v>0</v>
      </c>
      <c r="AK38" s="112">
        <v>0</v>
      </c>
      <c r="AL38" s="79">
        <v>0</v>
      </c>
      <c r="AM38" s="79">
        <v>0</v>
      </c>
      <c r="AN38" s="112">
        <v>0</v>
      </c>
      <c r="AO38" s="116">
        <v>0</v>
      </c>
      <c r="AP38" s="79">
        <v>0</v>
      </c>
      <c r="AQ38" s="79">
        <v>0</v>
      </c>
      <c r="AR38" s="112">
        <v>60420</v>
      </c>
      <c r="AS38" s="112">
        <v>0</v>
      </c>
      <c r="AT38" s="79">
        <v>0</v>
      </c>
      <c r="AU38" s="79">
        <v>0</v>
      </c>
      <c r="AV38" s="118">
        <v>17100</v>
      </c>
      <c r="AW38" s="112">
        <v>0</v>
      </c>
      <c r="AX38" s="75">
        <f t="shared" si="10"/>
        <v>369794</v>
      </c>
      <c r="AY38" s="75"/>
      <c r="AZ38" s="75">
        <v>231526</v>
      </c>
      <c r="BA38" s="75"/>
      <c r="BB38" s="118">
        <f t="shared" si="11"/>
        <v>613670</v>
      </c>
      <c r="BD38" s="124">
        <f t="shared" si="12"/>
        <v>369794</v>
      </c>
      <c r="BE38" s="124">
        <f t="shared" si="13"/>
        <v>0</v>
      </c>
      <c r="BL38" s="75"/>
      <c r="BM38" s="75">
        <v>406411</v>
      </c>
      <c r="BN38" s="75">
        <f t="shared" si="14"/>
        <v>413645.11580000003</v>
      </c>
      <c r="BO38" s="143">
        <v>1.78E-2</v>
      </c>
      <c r="BQ38" s="26"/>
    </row>
    <row r="39" spans="1:70" x14ac:dyDescent="0.25">
      <c r="A39" s="142">
        <v>50410</v>
      </c>
      <c r="B39" s="35" t="s">
        <v>69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f t="shared" si="9"/>
        <v>0</v>
      </c>
      <c r="M39" s="75"/>
      <c r="N39" s="79">
        <f>342308-75000</f>
        <v>267308</v>
      </c>
      <c r="O39" s="79">
        <v>0</v>
      </c>
      <c r="P39" s="75">
        <v>0</v>
      </c>
      <c r="Q39" s="75">
        <v>0</v>
      </c>
      <c r="R39" s="79">
        <v>33084</v>
      </c>
      <c r="S39" s="79">
        <v>0</v>
      </c>
      <c r="T39" s="75">
        <f>3994+-2216</f>
        <v>1778</v>
      </c>
      <c r="U39" s="75">
        <v>0</v>
      </c>
      <c r="V39" s="79">
        <v>0</v>
      </c>
      <c r="W39" s="79">
        <v>0</v>
      </c>
      <c r="X39" s="112">
        <v>0</v>
      </c>
      <c r="Y39" s="112">
        <v>0</v>
      </c>
      <c r="Z39" s="79">
        <v>0</v>
      </c>
      <c r="AA39" s="80">
        <v>0</v>
      </c>
      <c r="AB39" s="112">
        <f>303023-20000</f>
        <v>283023</v>
      </c>
      <c r="AC39" s="112">
        <v>0</v>
      </c>
      <c r="AD39" s="81">
        <v>0</v>
      </c>
      <c r="AE39" s="81">
        <v>0</v>
      </c>
      <c r="AF39" s="137">
        <v>156428</v>
      </c>
      <c r="AG39" s="114">
        <v>0</v>
      </c>
      <c r="AH39" s="82">
        <v>0</v>
      </c>
      <c r="AI39" s="82">
        <v>0</v>
      </c>
      <c r="AJ39" s="112">
        <v>46203</v>
      </c>
      <c r="AK39" s="112">
        <v>0</v>
      </c>
      <c r="AL39" s="79">
        <v>5526</v>
      </c>
      <c r="AM39" s="79">
        <v>0</v>
      </c>
      <c r="AN39" s="112">
        <v>32974</v>
      </c>
      <c r="AO39" s="116">
        <v>0</v>
      </c>
      <c r="AP39" s="79">
        <v>46787</v>
      </c>
      <c r="AQ39" s="79">
        <v>0</v>
      </c>
      <c r="AR39" s="112">
        <v>0</v>
      </c>
      <c r="AS39" s="112">
        <v>0</v>
      </c>
      <c r="AT39" s="79">
        <v>21600</v>
      </c>
      <c r="AU39" s="79">
        <v>0</v>
      </c>
      <c r="AV39" s="112">
        <v>0</v>
      </c>
      <c r="AW39" s="112">
        <v>0</v>
      </c>
      <c r="AX39" s="75">
        <f t="shared" si="10"/>
        <v>894711</v>
      </c>
      <c r="AY39" s="75"/>
      <c r="AZ39" s="75">
        <f>837000+184800</f>
        <v>1021800</v>
      </c>
      <c r="BA39" s="75"/>
      <c r="BB39" s="118">
        <f t="shared" si="11"/>
        <v>1916511</v>
      </c>
      <c r="BD39" s="124">
        <f t="shared" si="12"/>
        <v>894711</v>
      </c>
      <c r="BE39" s="124">
        <f t="shared" si="13"/>
        <v>0</v>
      </c>
      <c r="BL39" s="75"/>
      <c r="BM39" s="75">
        <v>990754</v>
      </c>
      <c r="BN39" s="75">
        <f t="shared" si="14"/>
        <v>1025018.9597504145</v>
      </c>
      <c r="BO39" s="143">
        <v>3.4584730165524984E-2</v>
      </c>
      <c r="BQ39" s="7"/>
      <c r="BR39" s="13"/>
    </row>
    <row r="40" spans="1:70" x14ac:dyDescent="0.25">
      <c r="A40" s="142">
        <v>50415</v>
      </c>
      <c r="B40" s="35" t="s">
        <v>70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f t="shared" si="9"/>
        <v>0</v>
      </c>
      <c r="M40" s="75"/>
      <c r="N40" s="79">
        <v>0</v>
      </c>
      <c r="O40" s="79">
        <v>0</v>
      </c>
      <c r="P40" s="75">
        <v>0</v>
      </c>
      <c r="Q40" s="75">
        <v>0</v>
      </c>
      <c r="R40" s="79">
        <v>0</v>
      </c>
      <c r="S40" s="79">
        <v>0</v>
      </c>
      <c r="T40" s="75">
        <v>0</v>
      </c>
      <c r="U40" s="75">
        <v>0</v>
      </c>
      <c r="V40" s="79">
        <v>0</v>
      </c>
      <c r="W40" s="79">
        <v>0</v>
      </c>
      <c r="X40" s="112">
        <f>2400+1094</f>
        <v>3494</v>
      </c>
      <c r="Y40" s="112">
        <v>0</v>
      </c>
      <c r="Z40" s="79">
        <v>0</v>
      </c>
      <c r="AA40" s="80">
        <v>0</v>
      </c>
      <c r="AB40" s="112">
        <v>0</v>
      </c>
      <c r="AC40" s="112">
        <v>0</v>
      </c>
      <c r="AD40" s="81">
        <v>0</v>
      </c>
      <c r="AE40" s="81">
        <v>0</v>
      </c>
      <c r="AF40" s="79">
        <v>0</v>
      </c>
      <c r="AG40" s="114">
        <v>0</v>
      </c>
      <c r="AH40" s="82">
        <v>0</v>
      </c>
      <c r="AI40" s="82">
        <v>0</v>
      </c>
      <c r="AJ40" s="112">
        <v>0</v>
      </c>
      <c r="AK40" s="112">
        <v>0</v>
      </c>
      <c r="AL40" s="79">
        <v>0</v>
      </c>
      <c r="AM40" s="79">
        <v>0</v>
      </c>
      <c r="AN40" s="112">
        <v>0</v>
      </c>
      <c r="AO40" s="116">
        <v>0</v>
      </c>
      <c r="AP40" s="79">
        <v>0</v>
      </c>
      <c r="AQ40" s="79">
        <v>0</v>
      </c>
      <c r="AR40" s="112">
        <v>0</v>
      </c>
      <c r="AS40" s="112">
        <v>0</v>
      </c>
      <c r="AT40" s="79">
        <v>0</v>
      </c>
      <c r="AU40" s="79">
        <v>0</v>
      </c>
      <c r="AV40" s="112">
        <f>33000+64107</f>
        <v>97107</v>
      </c>
      <c r="AW40" s="112">
        <v>0</v>
      </c>
      <c r="AX40" s="75">
        <f t="shared" si="10"/>
        <v>100601</v>
      </c>
      <c r="AY40" s="75"/>
      <c r="AZ40" s="75">
        <v>500</v>
      </c>
      <c r="BA40" s="75"/>
      <c r="BB40" s="118">
        <f t="shared" si="11"/>
        <v>101101</v>
      </c>
      <c r="BD40" s="124">
        <f t="shared" si="12"/>
        <v>100601</v>
      </c>
      <c r="BE40" s="124">
        <f t="shared" si="13"/>
        <v>0</v>
      </c>
      <c r="BL40" s="75"/>
      <c r="BM40" s="75">
        <v>100601</v>
      </c>
      <c r="BN40" s="75">
        <f t="shared" si="14"/>
        <v>102391.69780000001</v>
      </c>
      <c r="BO40" s="143">
        <v>1.78E-2</v>
      </c>
      <c r="BP40" s="148"/>
      <c r="BQ40" s="7"/>
    </row>
    <row r="41" spans="1:70" x14ac:dyDescent="0.25">
      <c r="A41" s="142">
        <v>50420</v>
      </c>
      <c r="B41" s="35" t="s">
        <v>71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16100</v>
      </c>
      <c r="I41" s="75">
        <v>0</v>
      </c>
      <c r="J41" s="75">
        <v>0</v>
      </c>
      <c r="K41" s="75">
        <v>0</v>
      </c>
      <c r="L41" s="75">
        <f t="shared" si="9"/>
        <v>16100</v>
      </c>
      <c r="M41" s="75"/>
      <c r="N41" s="79">
        <v>0</v>
      </c>
      <c r="O41" s="79">
        <v>0</v>
      </c>
      <c r="P41" s="75">
        <v>0</v>
      </c>
      <c r="Q41" s="75">
        <v>0</v>
      </c>
      <c r="R41" s="79">
        <v>0</v>
      </c>
      <c r="S41" s="79">
        <v>0</v>
      </c>
      <c r="T41" s="75">
        <v>0</v>
      </c>
      <c r="U41" s="75">
        <v>0</v>
      </c>
      <c r="V41" s="79">
        <v>0</v>
      </c>
      <c r="W41" s="79">
        <v>0</v>
      </c>
      <c r="X41" s="112">
        <v>0</v>
      </c>
      <c r="Y41" s="112">
        <v>0</v>
      </c>
      <c r="Z41" s="79">
        <v>0</v>
      </c>
      <c r="AA41" s="80">
        <v>0</v>
      </c>
      <c r="AB41" s="112">
        <v>0</v>
      </c>
      <c r="AC41" s="112">
        <v>0</v>
      </c>
      <c r="AD41" s="81">
        <v>0</v>
      </c>
      <c r="AE41" s="81">
        <v>0</v>
      </c>
      <c r="AF41" s="79">
        <v>0</v>
      </c>
      <c r="AG41" s="114">
        <v>0</v>
      </c>
      <c r="AH41" s="82">
        <v>0</v>
      </c>
      <c r="AI41" s="82">
        <v>0</v>
      </c>
      <c r="AJ41" s="112">
        <v>0</v>
      </c>
      <c r="AK41" s="112">
        <v>0</v>
      </c>
      <c r="AL41" s="79">
        <v>0</v>
      </c>
      <c r="AM41" s="79">
        <v>0</v>
      </c>
      <c r="AN41" s="112">
        <v>0</v>
      </c>
      <c r="AO41" s="116">
        <v>0</v>
      </c>
      <c r="AP41" s="79">
        <v>0</v>
      </c>
      <c r="AQ41" s="79">
        <v>0</v>
      </c>
      <c r="AR41" s="112">
        <v>0</v>
      </c>
      <c r="AS41" s="112">
        <v>0</v>
      </c>
      <c r="AT41" s="79">
        <v>0</v>
      </c>
      <c r="AU41" s="79">
        <v>0</v>
      </c>
      <c r="AV41" s="112">
        <v>0</v>
      </c>
      <c r="AW41" s="112">
        <v>0</v>
      </c>
      <c r="AX41" s="75">
        <f t="shared" si="10"/>
        <v>0</v>
      </c>
      <c r="AY41" s="75"/>
      <c r="AZ41" s="75">
        <v>0</v>
      </c>
      <c r="BA41" s="75"/>
      <c r="BB41" s="118">
        <f t="shared" si="11"/>
        <v>16100</v>
      </c>
      <c r="BD41" s="124">
        <f t="shared" si="12"/>
        <v>0</v>
      </c>
      <c r="BE41" s="124">
        <f t="shared" si="13"/>
        <v>0</v>
      </c>
      <c r="BL41" s="75"/>
      <c r="BM41" s="75">
        <v>0</v>
      </c>
      <c r="BN41" s="75">
        <f t="shared" si="14"/>
        <v>0</v>
      </c>
      <c r="BO41" s="143">
        <v>1.78E-2</v>
      </c>
      <c r="BP41" s="148"/>
      <c r="BQ41" s="7"/>
    </row>
    <row r="42" spans="1:70" x14ac:dyDescent="0.25">
      <c r="A42" s="142">
        <v>50425</v>
      </c>
      <c r="B42" s="35" t="s">
        <v>72</v>
      </c>
      <c r="C42" s="75">
        <v>0</v>
      </c>
      <c r="D42" s="75">
        <v>12700</v>
      </c>
      <c r="E42" s="75">
        <v>500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f t="shared" si="9"/>
        <v>13200</v>
      </c>
      <c r="M42" s="75"/>
      <c r="N42" s="79">
        <v>0</v>
      </c>
      <c r="O42" s="79">
        <v>0</v>
      </c>
      <c r="P42" s="75">
        <v>0</v>
      </c>
      <c r="Q42" s="75">
        <v>0</v>
      </c>
      <c r="R42" s="79">
        <v>0</v>
      </c>
      <c r="S42" s="79">
        <v>0</v>
      </c>
      <c r="T42" s="75">
        <v>0</v>
      </c>
      <c r="U42" s="75">
        <v>0</v>
      </c>
      <c r="V42" s="79">
        <v>0</v>
      </c>
      <c r="W42" s="79">
        <v>0</v>
      </c>
      <c r="X42" s="112">
        <f>13500+159</f>
        <v>13659</v>
      </c>
      <c r="Y42" s="112">
        <v>1404</v>
      </c>
      <c r="Z42" s="79">
        <v>0</v>
      </c>
      <c r="AA42" s="80">
        <v>0</v>
      </c>
      <c r="AB42" s="112">
        <v>0</v>
      </c>
      <c r="AC42" s="112">
        <v>0</v>
      </c>
      <c r="AD42" s="81">
        <v>0</v>
      </c>
      <c r="AE42" s="81">
        <v>0</v>
      </c>
      <c r="AF42" s="79">
        <v>0</v>
      </c>
      <c r="AG42" s="114">
        <v>0</v>
      </c>
      <c r="AH42" s="82">
        <v>0</v>
      </c>
      <c r="AI42" s="82">
        <v>0</v>
      </c>
      <c r="AJ42" s="112">
        <v>0</v>
      </c>
      <c r="AK42" s="112">
        <v>0</v>
      </c>
      <c r="AL42" s="79">
        <v>0</v>
      </c>
      <c r="AM42" s="79">
        <v>0</v>
      </c>
      <c r="AN42" s="112">
        <v>0</v>
      </c>
      <c r="AO42" s="116">
        <v>0</v>
      </c>
      <c r="AP42" s="79">
        <v>0</v>
      </c>
      <c r="AQ42" s="79">
        <v>0</v>
      </c>
      <c r="AR42" s="112">
        <v>7700</v>
      </c>
      <c r="AS42" s="112">
        <v>0</v>
      </c>
      <c r="AT42" s="79">
        <v>0</v>
      </c>
      <c r="AU42" s="79">
        <v>0</v>
      </c>
      <c r="AV42" s="112">
        <v>0</v>
      </c>
      <c r="AW42" s="112">
        <v>0</v>
      </c>
      <c r="AX42" s="75">
        <f t="shared" si="10"/>
        <v>22763</v>
      </c>
      <c r="AY42" s="75"/>
      <c r="AZ42" s="75">
        <v>0</v>
      </c>
      <c r="BA42" s="75"/>
      <c r="BB42" s="118">
        <f t="shared" si="11"/>
        <v>35963</v>
      </c>
      <c r="BD42" s="124">
        <f t="shared" si="12"/>
        <v>21359</v>
      </c>
      <c r="BE42" s="124">
        <f t="shared" si="13"/>
        <v>1404</v>
      </c>
      <c r="BL42" s="75"/>
      <c r="BM42" s="75">
        <v>22763</v>
      </c>
      <c r="BN42" s="75">
        <f t="shared" si="14"/>
        <v>23168.181400000001</v>
      </c>
      <c r="BO42" s="143">
        <v>1.78E-2</v>
      </c>
      <c r="BP42" s="157"/>
      <c r="BQ42" s="26"/>
    </row>
    <row r="43" spans="1:70" x14ac:dyDescent="0.25">
      <c r="A43" s="142">
        <v>50435</v>
      </c>
      <c r="B43" s="35" t="s">
        <v>73</v>
      </c>
      <c r="C43" s="75">
        <v>0</v>
      </c>
      <c r="D43" s="75">
        <v>3000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f t="shared" si="9"/>
        <v>3000</v>
      </c>
      <c r="M43" s="75"/>
      <c r="N43" s="79">
        <v>0</v>
      </c>
      <c r="O43" s="79">
        <v>0</v>
      </c>
      <c r="P43" s="75">
        <v>0</v>
      </c>
      <c r="Q43" s="75">
        <v>0</v>
      </c>
      <c r="R43" s="79">
        <v>0</v>
      </c>
      <c r="S43" s="79">
        <v>0</v>
      </c>
      <c r="T43" s="75">
        <v>0</v>
      </c>
      <c r="U43" s="75">
        <v>0</v>
      </c>
      <c r="V43" s="79">
        <v>0</v>
      </c>
      <c r="W43" s="79">
        <v>0</v>
      </c>
      <c r="X43" s="112">
        <v>1200</v>
      </c>
      <c r="Y43" s="112">
        <v>0</v>
      </c>
      <c r="Z43" s="79">
        <v>0</v>
      </c>
      <c r="AA43" s="80">
        <v>0</v>
      </c>
      <c r="AB43" s="112">
        <v>0</v>
      </c>
      <c r="AC43" s="112">
        <v>0</v>
      </c>
      <c r="AD43" s="81">
        <v>0</v>
      </c>
      <c r="AE43" s="81">
        <v>0</v>
      </c>
      <c r="AF43" s="79">
        <v>0</v>
      </c>
      <c r="AG43" s="114">
        <v>0</v>
      </c>
      <c r="AH43" s="82">
        <v>0</v>
      </c>
      <c r="AI43" s="82">
        <v>0</v>
      </c>
      <c r="AJ43" s="112">
        <v>0</v>
      </c>
      <c r="AK43" s="112">
        <v>0</v>
      </c>
      <c r="AL43" s="79">
        <v>0</v>
      </c>
      <c r="AM43" s="79">
        <v>0</v>
      </c>
      <c r="AN43" s="112">
        <v>0</v>
      </c>
      <c r="AO43" s="116">
        <v>0</v>
      </c>
      <c r="AP43" s="79">
        <v>0</v>
      </c>
      <c r="AQ43" s="79">
        <v>0</v>
      </c>
      <c r="AR43" s="112">
        <v>0</v>
      </c>
      <c r="AS43" s="112">
        <v>0</v>
      </c>
      <c r="AT43" s="79">
        <v>0</v>
      </c>
      <c r="AU43" s="79">
        <v>0</v>
      </c>
      <c r="AV43" s="112">
        <v>0</v>
      </c>
      <c r="AW43" s="112">
        <v>0</v>
      </c>
      <c r="AX43" s="75">
        <f t="shared" si="10"/>
        <v>1200</v>
      </c>
      <c r="AY43" s="75"/>
      <c r="AZ43" s="75">
        <v>0</v>
      </c>
      <c r="BA43" s="75"/>
      <c r="BB43" s="118">
        <f t="shared" si="11"/>
        <v>4200</v>
      </c>
      <c r="BD43" s="124">
        <f t="shared" si="12"/>
        <v>1200</v>
      </c>
      <c r="BE43" s="124">
        <f t="shared" si="13"/>
        <v>0</v>
      </c>
      <c r="BL43" s="75"/>
      <c r="BM43" s="75">
        <v>1200</v>
      </c>
      <c r="BN43" s="75">
        <f t="shared" si="14"/>
        <v>1221.3600000000001</v>
      </c>
      <c r="BO43" s="143">
        <v>1.78E-2</v>
      </c>
      <c r="BQ43" s="7"/>
    </row>
    <row r="44" spans="1:70" x14ac:dyDescent="0.25">
      <c r="A44" s="142">
        <v>50440</v>
      </c>
      <c r="B44" s="35" t="s">
        <v>74</v>
      </c>
      <c r="C44" s="83">
        <v>0</v>
      </c>
      <c r="D44" s="8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f>29300+38000</f>
        <v>67300</v>
      </c>
      <c r="L44" s="75">
        <f t="shared" si="9"/>
        <v>67300</v>
      </c>
      <c r="M44" s="75"/>
      <c r="N44" s="79">
        <v>0</v>
      </c>
      <c r="O44" s="79">
        <v>0</v>
      </c>
      <c r="P44" s="75">
        <v>0</v>
      </c>
      <c r="Q44" s="75">
        <v>0</v>
      </c>
      <c r="R44" s="79">
        <v>0</v>
      </c>
      <c r="S44" s="79">
        <v>0</v>
      </c>
      <c r="T44" s="75">
        <v>0</v>
      </c>
      <c r="U44" s="75">
        <v>0</v>
      </c>
      <c r="V44" s="79">
        <v>0</v>
      </c>
      <c r="W44" s="79">
        <v>0</v>
      </c>
      <c r="X44" s="112">
        <v>3000</v>
      </c>
      <c r="Y44" s="112">
        <v>0</v>
      </c>
      <c r="Z44" s="79">
        <v>0</v>
      </c>
      <c r="AA44" s="80">
        <v>0</v>
      </c>
      <c r="AB44" s="112">
        <v>0</v>
      </c>
      <c r="AC44" s="112">
        <v>0</v>
      </c>
      <c r="AD44" s="81">
        <v>0</v>
      </c>
      <c r="AE44" s="81">
        <v>0</v>
      </c>
      <c r="AF44" s="79">
        <v>0</v>
      </c>
      <c r="AG44" s="114">
        <v>0</v>
      </c>
      <c r="AH44" s="82">
        <v>0</v>
      </c>
      <c r="AI44" s="82">
        <v>0</v>
      </c>
      <c r="AJ44" s="112">
        <f>3279+2015</f>
        <v>5294</v>
      </c>
      <c r="AK44" s="112">
        <v>0</v>
      </c>
      <c r="AL44" s="79">
        <v>414</v>
      </c>
      <c r="AM44" s="79">
        <v>0</v>
      </c>
      <c r="AN44" s="112">
        <f>43106+20656+2312</f>
        <v>66074</v>
      </c>
      <c r="AO44" s="116">
        <v>0</v>
      </c>
      <c r="AP44" s="79">
        <v>0</v>
      </c>
      <c r="AQ44" s="79">
        <v>0</v>
      </c>
      <c r="AR44" s="112">
        <v>700</v>
      </c>
      <c r="AS44" s="112">
        <v>0</v>
      </c>
      <c r="AT44" s="79">
        <v>0</v>
      </c>
      <c r="AU44" s="79">
        <v>0</v>
      </c>
      <c r="AV44" s="112">
        <v>0</v>
      </c>
      <c r="AW44" s="112">
        <v>0</v>
      </c>
      <c r="AX44" s="75">
        <f t="shared" si="10"/>
        <v>75482</v>
      </c>
      <c r="AY44" s="75"/>
      <c r="AZ44" s="75">
        <v>0</v>
      </c>
      <c r="BA44" s="75"/>
      <c r="BB44" s="118">
        <f t="shared" si="11"/>
        <v>142782</v>
      </c>
      <c r="BD44" s="124">
        <f t="shared" si="12"/>
        <v>75482</v>
      </c>
      <c r="BE44" s="124">
        <f t="shared" si="13"/>
        <v>0</v>
      </c>
      <c r="BL44" s="75"/>
      <c r="BM44" s="75">
        <v>75482</v>
      </c>
      <c r="BN44" s="75">
        <f t="shared" si="14"/>
        <v>76825.579599999997</v>
      </c>
      <c r="BO44" s="143">
        <v>1.78E-2</v>
      </c>
      <c r="BQ44" s="26"/>
    </row>
    <row r="45" spans="1:70" x14ac:dyDescent="0.25">
      <c r="A45" s="142">
        <v>50445</v>
      </c>
      <c r="B45" s="35" t="s">
        <v>75</v>
      </c>
      <c r="C45" s="75">
        <v>0</v>
      </c>
      <c r="D45" s="8">
        <v>2500</v>
      </c>
      <c r="E45" s="75">
        <v>0</v>
      </c>
      <c r="F45" s="75">
        <v>0</v>
      </c>
      <c r="G45" s="75">
        <v>0</v>
      </c>
      <c r="H45" s="75">
        <v>5950</v>
      </c>
      <c r="I45" s="75">
        <v>0</v>
      </c>
      <c r="J45" s="75">
        <v>0</v>
      </c>
      <c r="K45" s="75">
        <v>0</v>
      </c>
      <c r="L45" s="75">
        <f t="shared" si="9"/>
        <v>8450</v>
      </c>
      <c r="M45" s="75"/>
      <c r="N45" s="79">
        <v>0</v>
      </c>
      <c r="O45" s="79">
        <v>0</v>
      </c>
      <c r="P45" s="75">
        <v>0</v>
      </c>
      <c r="Q45" s="75">
        <v>0</v>
      </c>
      <c r="R45" s="79">
        <v>0</v>
      </c>
      <c r="S45" s="79">
        <v>0</v>
      </c>
      <c r="T45" s="75">
        <v>0</v>
      </c>
      <c r="U45" s="75">
        <v>0</v>
      </c>
      <c r="V45" s="79">
        <v>0</v>
      </c>
      <c r="W45" s="79">
        <v>0</v>
      </c>
      <c r="X45" s="112">
        <f>120+4096</f>
        <v>4216</v>
      </c>
      <c r="Y45" s="112">
        <f>1200+689</f>
        <v>1889</v>
      </c>
      <c r="Z45" s="79">
        <v>0</v>
      </c>
      <c r="AA45" s="80">
        <v>0</v>
      </c>
      <c r="AB45" s="112">
        <v>0</v>
      </c>
      <c r="AC45" s="112">
        <v>0</v>
      </c>
      <c r="AD45" s="81">
        <v>0</v>
      </c>
      <c r="AE45" s="81">
        <v>0</v>
      </c>
      <c r="AF45" s="79">
        <v>0</v>
      </c>
      <c r="AG45" s="114">
        <v>0</v>
      </c>
      <c r="AH45" s="82">
        <v>0</v>
      </c>
      <c r="AI45" s="82">
        <v>0</v>
      </c>
      <c r="AJ45" s="112">
        <v>0</v>
      </c>
      <c r="AK45" s="112">
        <v>0</v>
      </c>
      <c r="AL45" s="79">
        <v>0</v>
      </c>
      <c r="AM45" s="79">
        <v>0</v>
      </c>
      <c r="AN45" s="112">
        <v>0</v>
      </c>
      <c r="AO45" s="116">
        <v>0</v>
      </c>
      <c r="AP45" s="79">
        <v>0</v>
      </c>
      <c r="AQ45" s="79">
        <v>0</v>
      </c>
      <c r="AR45" s="112">
        <v>3000</v>
      </c>
      <c r="AS45" s="112">
        <v>0</v>
      </c>
      <c r="AT45" s="79">
        <v>0</v>
      </c>
      <c r="AU45" s="79">
        <v>0</v>
      </c>
      <c r="AV45" s="112">
        <v>0</v>
      </c>
      <c r="AW45" s="112">
        <v>0</v>
      </c>
      <c r="AX45" s="75">
        <f t="shared" si="10"/>
        <v>9105</v>
      </c>
      <c r="AY45" s="75"/>
      <c r="AZ45" s="75">
        <v>0</v>
      </c>
      <c r="BA45" s="75"/>
      <c r="BB45" s="118">
        <f t="shared" si="11"/>
        <v>17555</v>
      </c>
      <c r="BD45" s="124">
        <f t="shared" si="12"/>
        <v>7216</v>
      </c>
      <c r="BE45" s="124">
        <f t="shared" si="13"/>
        <v>1889</v>
      </c>
      <c r="BL45" s="75"/>
      <c r="BM45" s="75">
        <v>9105</v>
      </c>
      <c r="BN45" s="75">
        <f t="shared" si="14"/>
        <v>9267.0689999999995</v>
      </c>
      <c r="BO45" s="143">
        <v>1.78E-2</v>
      </c>
      <c r="BQ45" s="36"/>
      <c r="BR45" s="13"/>
    </row>
    <row r="46" spans="1:70" x14ac:dyDescent="0.25">
      <c r="A46" s="142">
        <v>50450</v>
      </c>
      <c r="B46" s="35" t="s">
        <v>76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83">
        <v>0</v>
      </c>
      <c r="I46" s="75">
        <v>0</v>
      </c>
      <c r="J46" s="75">
        <v>0</v>
      </c>
      <c r="K46" s="75">
        <v>0</v>
      </c>
      <c r="L46" s="75">
        <f t="shared" si="9"/>
        <v>0</v>
      </c>
      <c r="M46" s="75"/>
      <c r="N46" s="79">
        <v>0</v>
      </c>
      <c r="O46" s="79">
        <v>0</v>
      </c>
      <c r="P46" s="75">
        <v>0</v>
      </c>
      <c r="Q46" s="75">
        <v>0</v>
      </c>
      <c r="R46" s="79">
        <v>0</v>
      </c>
      <c r="S46" s="79">
        <v>0</v>
      </c>
      <c r="T46" s="75">
        <v>0</v>
      </c>
      <c r="U46" s="75">
        <v>0</v>
      </c>
      <c r="V46" s="79">
        <v>0</v>
      </c>
      <c r="W46" s="79">
        <v>0</v>
      </c>
      <c r="X46" s="112">
        <v>0</v>
      </c>
      <c r="Y46" s="112">
        <v>0</v>
      </c>
      <c r="Z46" s="79">
        <v>0</v>
      </c>
      <c r="AA46" s="80">
        <v>0</v>
      </c>
      <c r="AB46" s="112">
        <v>0</v>
      </c>
      <c r="AC46" s="112">
        <v>0</v>
      </c>
      <c r="AD46" s="81">
        <v>0</v>
      </c>
      <c r="AE46" s="81">
        <v>0</v>
      </c>
      <c r="AF46" s="79">
        <v>0</v>
      </c>
      <c r="AG46" s="114">
        <v>0</v>
      </c>
      <c r="AH46" s="82">
        <v>0</v>
      </c>
      <c r="AI46" s="82">
        <v>0</v>
      </c>
      <c r="AJ46" s="112">
        <v>0</v>
      </c>
      <c r="AK46" s="112">
        <v>0</v>
      </c>
      <c r="AL46" s="79">
        <v>0</v>
      </c>
      <c r="AM46" s="79">
        <v>0</v>
      </c>
      <c r="AN46" s="112">
        <v>0</v>
      </c>
      <c r="AO46" s="116">
        <v>0</v>
      </c>
      <c r="AP46" s="79">
        <v>0</v>
      </c>
      <c r="AQ46" s="79">
        <v>0</v>
      </c>
      <c r="AR46" s="112">
        <v>0</v>
      </c>
      <c r="AS46" s="112">
        <v>0</v>
      </c>
      <c r="AT46" s="79">
        <v>0</v>
      </c>
      <c r="AU46" s="79">
        <v>0</v>
      </c>
      <c r="AV46" s="112">
        <v>104000</v>
      </c>
      <c r="AW46" s="112">
        <v>0</v>
      </c>
      <c r="AX46" s="75">
        <f t="shared" si="10"/>
        <v>104000</v>
      </c>
      <c r="AY46" s="75"/>
      <c r="AZ46" s="75">
        <v>0</v>
      </c>
      <c r="BA46" s="75"/>
      <c r="BB46" s="118">
        <f t="shared" si="11"/>
        <v>104000</v>
      </c>
      <c r="BD46" s="124">
        <f t="shared" si="12"/>
        <v>104000</v>
      </c>
      <c r="BE46" s="124">
        <f t="shared" si="13"/>
        <v>0</v>
      </c>
      <c r="BL46" s="75"/>
      <c r="BM46" s="75">
        <v>104000</v>
      </c>
      <c r="BN46" s="75">
        <f t="shared" si="14"/>
        <v>105851.2</v>
      </c>
      <c r="BO46" s="143">
        <v>1.78E-2</v>
      </c>
      <c r="BP46" s="148"/>
      <c r="BQ46" s="36"/>
    </row>
    <row r="47" spans="1:70" x14ac:dyDescent="0.25">
      <c r="A47" s="142">
        <v>50455</v>
      </c>
      <c r="B47" s="35" t="s">
        <v>77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f t="shared" si="9"/>
        <v>0</v>
      </c>
      <c r="M47" s="75"/>
      <c r="N47" s="79">
        <v>0</v>
      </c>
      <c r="O47" s="79">
        <v>0</v>
      </c>
      <c r="P47" s="75">
        <v>0</v>
      </c>
      <c r="Q47" s="75">
        <v>0</v>
      </c>
      <c r="R47" s="79">
        <v>0</v>
      </c>
      <c r="S47" s="79">
        <v>0</v>
      </c>
      <c r="T47" s="75">
        <v>0</v>
      </c>
      <c r="U47" s="75">
        <v>0</v>
      </c>
      <c r="V47" s="79">
        <v>0</v>
      </c>
      <c r="W47" s="79">
        <v>0</v>
      </c>
      <c r="X47" s="112">
        <v>0</v>
      </c>
      <c r="Y47" s="112">
        <v>0</v>
      </c>
      <c r="Z47" s="79">
        <v>0</v>
      </c>
      <c r="AA47" s="80">
        <v>0</v>
      </c>
      <c r="AB47" s="112">
        <v>0</v>
      </c>
      <c r="AC47" s="112">
        <v>0</v>
      </c>
      <c r="AD47" s="81">
        <v>0</v>
      </c>
      <c r="AE47" s="81">
        <v>0</v>
      </c>
      <c r="AF47" s="79">
        <v>0</v>
      </c>
      <c r="AG47" s="114">
        <v>0</v>
      </c>
      <c r="AH47" s="82">
        <v>0</v>
      </c>
      <c r="AI47" s="82">
        <v>0</v>
      </c>
      <c r="AJ47" s="112">
        <v>0</v>
      </c>
      <c r="AK47" s="112">
        <v>0</v>
      </c>
      <c r="AL47" s="79">
        <v>0</v>
      </c>
      <c r="AM47" s="79">
        <v>0</v>
      </c>
      <c r="AN47" s="112">
        <v>0</v>
      </c>
      <c r="AO47" s="116">
        <v>0</v>
      </c>
      <c r="AP47" s="79">
        <v>0</v>
      </c>
      <c r="AQ47" s="79">
        <v>0</v>
      </c>
      <c r="AR47" s="112">
        <v>0</v>
      </c>
      <c r="AS47" s="112">
        <v>0</v>
      </c>
      <c r="AT47" s="79">
        <v>0</v>
      </c>
      <c r="AU47" s="79">
        <v>0</v>
      </c>
      <c r="AV47" s="112">
        <v>490800</v>
      </c>
      <c r="AW47" s="112">
        <v>0</v>
      </c>
      <c r="AX47" s="75">
        <f t="shared" si="10"/>
        <v>490800</v>
      </c>
      <c r="AY47" s="75"/>
      <c r="AZ47" s="75">
        <v>0</v>
      </c>
      <c r="BA47" s="75"/>
      <c r="BB47" s="118">
        <f t="shared" si="11"/>
        <v>490800</v>
      </c>
      <c r="BD47" s="124">
        <f t="shared" si="12"/>
        <v>490800</v>
      </c>
      <c r="BE47" s="124">
        <f t="shared" si="13"/>
        <v>0</v>
      </c>
      <c r="BL47" s="75"/>
      <c r="BM47" s="75">
        <v>490800</v>
      </c>
      <c r="BN47" s="75">
        <f t="shared" si="14"/>
        <v>499536.24</v>
      </c>
      <c r="BO47" s="143">
        <v>1.78E-2</v>
      </c>
      <c r="BP47" s="148"/>
      <c r="BQ47" s="36"/>
    </row>
    <row r="48" spans="1:70" x14ac:dyDescent="0.25">
      <c r="A48" s="142">
        <v>50456</v>
      </c>
      <c r="B48" s="35" t="s">
        <v>78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f t="shared" si="9"/>
        <v>0</v>
      </c>
      <c r="M48" s="75"/>
      <c r="N48" s="79">
        <v>0</v>
      </c>
      <c r="O48" s="79">
        <v>0</v>
      </c>
      <c r="P48" s="75">
        <v>0</v>
      </c>
      <c r="Q48" s="75">
        <v>0</v>
      </c>
      <c r="R48" s="79">
        <v>0</v>
      </c>
      <c r="S48" s="79">
        <v>0</v>
      </c>
      <c r="T48" s="75">
        <v>0</v>
      </c>
      <c r="U48" s="75">
        <v>0</v>
      </c>
      <c r="V48" s="79">
        <v>0</v>
      </c>
      <c r="W48" s="79">
        <v>0</v>
      </c>
      <c r="X48" s="112">
        <v>0</v>
      </c>
      <c r="Y48" s="112">
        <v>0</v>
      </c>
      <c r="Z48" s="79">
        <v>0</v>
      </c>
      <c r="AA48" s="80">
        <v>0</v>
      </c>
      <c r="AB48" s="112">
        <v>0</v>
      </c>
      <c r="AC48" s="112">
        <v>0</v>
      </c>
      <c r="AD48" s="81">
        <v>0</v>
      </c>
      <c r="AE48" s="81">
        <v>0</v>
      </c>
      <c r="AF48" s="79">
        <v>0</v>
      </c>
      <c r="AG48" s="114">
        <v>0</v>
      </c>
      <c r="AH48" s="82">
        <v>0</v>
      </c>
      <c r="AI48" s="82">
        <v>0</v>
      </c>
      <c r="AJ48" s="112">
        <v>0</v>
      </c>
      <c r="AK48" s="112">
        <v>0</v>
      </c>
      <c r="AL48" s="79">
        <v>0</v>
      </c>
      <c r="AM48" s="79">
        <v>0</v>
      </c>
      <c r="AN48" s="112">
        <v>0</v>
      </c>
      <c r="AO48" s="116">
        <v>0</v>
      </c>
      <c r="AP48" s="79">
        <v>0</v>
      </c>
      <c r="AQ48" s="79">
        <v>0</v>
      </c>
      <c r="AR48" s="112">
        <v>0</v>
      </c>
      <c r="AS48" s="112">
        <v>0</v>
      </c>
      <c r="AT48" s="79">
        <v>0</v>
      </c>
      <c r="AU48" s="79">
        <v>0</v>
      </c>
      <c r="AV48" s="112">
        <v>32800</v>
      </c>
      <c r="AW48" s="112">
        <v>0</v>
      </c>
      <c r="AX48" s="75">
        <f t="shared" si="10"/>
        <v>32800</v>
      </c>
      <c r="AY48" s="75"/>
      <c r="AZ48" s="75">
        <v>0</v>
      </c>
      <c r="BA48" s="75"/>
      <c r="BB48" s="118">
        <f t="shared" si="11"/>
        <v>32800</v>
      </c>
      <c r="BD48" s="124">
        <f t="shared" si="12"/>
        <v>32800</v>
      </c>
      <c r="BE48" s="124">
        <f t="shared" si="13"/>
        <v>0</v>
      </c>
      <c r="BL48" s="75"/>
      <c r="BM48" s="75">
        <v>32800</v>
      </c>
      <c r="BN48" s="75">
        <f t="shared" si="14"/>
        <v>33383.840000000004</v>
      </c>
      <c r="BO48" s="143">
        <v>1.78E-2</v>
      </c>
      <c r="BP48" s="157"/>
      <c r="BQ48" s="26"/>
    </row>
    <row r="49" spans="1:71" x14ac:dyDescent="0.25">
      <c r="A49" s="142">
        <v>50515</v>
      </c>
      <c r="B49" s="35" t="s">
        <v>180</v>
      </c>
      <c r="C49" s="75">
        <v>0</v>
      </c>
      <c r="D49" s="75">
        <v>12000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f t="shared" si="9"/>
        <v>12000</v>
      </c>
      <c r="M49" s="75"/>
      <c r="N49" s="79">
        <v>0</v>
      </c>
      <c r="O49" s="79">
        <v>0</v>
      </c>
      <c r="P49" s="75">
        <v>0</v>
      </c>
      <c r="Q49" s="75">
        <v>0</v>
      </c>
      <c r="R49" s="79">
        <v>9794</v>
      </c>
      <c r="S49" s="79">
        <v>0</v>
      </c>
      <c r="T49" s="75">
        <f>1072+2142</f>
        <v>3214</v>
      </c>
      <c r="U49" s="75">
        <v>0</v>
      </c>
      <c r="V49" s="79">
        <v>0</v>
      </c>
      <c r="W49" s="79">
        <v>0</v>
      </c>
      <c r="X49" s="112">
        <v>74700</v>
      </c>
      <c r="Y49" s="112">
        <v>0</v>
      </c>
      <c r="Z49" s="79">
        <v>0</v>
      </c>
      <c r="AA49" s="80">
        <v>0</v>
      </c>
      <c r="AB49" s="112">
        <v>0</v>
      </c>
      <c r="AC49" s="112">
        <v>0</v>
      </c>
      <c r="AD49" s="81">
        <v>0</v>
      </c>
      <c r="AE49" s="81">
        <v>0</v>
      </c>
      <c r="AF49" s="79">
        <v>0</v>
      </c>
      <c r="AG49" s="114">
        <v>0</v>
      </c>
      <c r="AH49" s="82">
        <v>0</v>
      </c>
      <c r="AI49" s="82">
        <v>0</v>
      </c>
      <c r="AJ49" s="112">
        <v>12375</v>
      </c>
      <c r="AK49" s="112">
        <v>0</v>
      </c>
      <c r="AL49" s="79">
        <v>1556</v>
      </c>
      <c r="AM49" s="79">
        <v>0</v>
      </c>
      <c r="AN49" s="112">
        <v>8603</v>
      </c>
      <c r="AO49" s="116">
        <v>0</v>
      </c>
      <c r="AP49" s="79">
        <v>0</v>
      </c>
      <c r="AQ49" s="79">
        <v>0</v>
      </c>
      <c r="AR49" s="112">
        <v>21600</v>
      </c>
      <c r="AS49" s="112">
        <v>0</v>
      </c>
      <c r="AT49" s="79">
        <v>12000</v>
      </c>
      <c r="AU49" s="79">
        <v>0</v>
      </c>
      <c r="AV49" s="112">
        <v>0</v>
      </c>
      <c r="AW49" s="112">
        <v>0</v>
      </c>
      <c r="AX49" s="75">
        <f t="shared" si="10"/>
        <v>143842</v>
      </c>
      <c r="AY49" s="75"/>
      <c r="AZ49" s="75">
        <v>5000</v>
      </c>
      <c r="BA49" s="75"/>
      <c r="BB49" s="118">
        <f t="shared" si="11"/>
        <v>160842</v>
      </c>
      <c r="BD49" s="124">
        <f t="shared" si="12"/>
        <v>143842</v>
      </c>
      <c r="BE49" s="124">
        <f t="shared" si="13"/>
        <v>0</v>
      </c>
      <c r="BI49" s="5">
        <v>309635</v>
      </c>
      <c r="BL49" s="75"/>
      <c r="BM49" s="75">
        <v>141700</v>
      </c>
      <c r="BN49" s="75">
        <f t="shared" si="14"/>
        <v>144222.26</v>
      </c>
      <c r="BO49" s="143">
        <v>1.78E-2</v>
      </c>
      <c r="BQ49" s="7"/>
    </row>
    <row r="50" spans="1:71" x14ac:dyDescent="0.25">
      <c r="A50" s="142">
        <v>50520</v>
      </c>
      <c r="B50" s="35" t="s">
        <v>79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f t="shared" si="9"/>
        <v>0</v>
      </c>
      <c r="M50" s="75"/>
      <c r="N50" s="79">
        <v>0</v>
      </c>
      <c r="O50" s="79">
        <v>0</v>
      </c>
      <c r="P50" s="75">
        <v>0</v>
      </c>
      <c r="Q50" s="75">
        <v>0</v>
      </c>
      <c r="R50" s="79">
        <v>0</v>
      </c>
      <c r="S50" s="79">
        <v>0</v>
      </c>
      <c r="T50" s="75">
        <v>0</v>
      </c>
      <c r="U50" s="75">
        <v>0</v>
      </c>
      <c r="V50" s="79">
        <v>0</v>
      </c>
      <c r="W50" s="79">
        <v>0</v>
      </c>
      <c r="X50" s="112">
        <v>24000</v>
      </c>
      <c r="Y50" s="112">
        <v>0</v>
      </c>
      <c r="Z50" s="79">
        <v>0</v>
      </c>
      <c r="AA50" s="80">
        <v>0</v>
      </c>
      <c r="AB50" s="112">
        <v>0</v>
      </c>
      <c r="AC50" s="112">
        <v>0</v>
      </c>
      <c r="AD50" s="81">
        <v>0</v>
      </c>
      <c r="AE50" s="81">
        <v>0</v>
      </c>
      <c r="AF50" s="79">
        <v>0</v>
      </c>
      <c r="AG50" s="114">
        <v>0</v>
      </c>
      <c r="AH50" s="82">
        <v>0</v>
      </c>
      <c r="AI50" s="82">
        <v>0</v>
      </c>
      <c r="AJ50" s="112">
        <v>0</v>
      </c>
      <c r="AK50" s="112">
        <v>0</v>
      </c>
      <c r="AL50" s="79">
        <v>0</v>
      </c>
      <c r="AM50" s="79">
        <v>0</v>
      </c>
      <c r="AN50" s="112">
        <v>0</v>
      </c>
      <c r="AO50" s="116">
        <v>0</v>
      </c>
      <c r="AP50" s="79">
        <v>0</v>
      </c>
      <c r="AQ50" s="79">
        <v>0</v>
      </c>
      <c r="AR50" s="112">
        <v>0</v>
      </c>
      <c r="AS50" s="112">
        <v>0</v>
      </c>
      <c r="AT50" s="79">
        <v>0</v>
      </c>
      <c r="AU50" s="79">
        <v>0</v>
      </c>
      <c r="AV50" s="112">
        <v>0</v>
      </c>
      <c r="AW50" s="112">
        <v>0</v>
      </c>
      <c r="AX50" s="75">
        <f t="shared" si="10"/>
        <v>24000</v>
      </c>
      <c r="AY50" s="75"/>
      <c r="AZ50" s="75">
        <v>84768</v>
      </c>
      <c r="BA50" s="75"/>
      <c r="BB50" s="118">
        <f t="shared" si="11"/>
        <v>108768</v>
      </c>
      <c r="BD50" s="124">
        <f t="shared" si="12"/>
        <v>24000</v>
      </c>
      <c r="BE50" s="124">
        <f t="shared" si="13"/>
        <v>0</v>
      </c>
      <c r="BI50" s="5">
        <v>169538</v>
      </c>
      <c r="BL50" s="75"/>
      <c r="BM50" s="75">
        <v>24000</v>
      </c>
      <c r="BN50" s="75">
        <f t="shared" si="14"/>
        <v>24427.200000000001</v>
      </c>
      <c r="BO50" s="143">
        <v>1.78E-2</v>
      </c>
      <c r="BP50" s="148"/>
      <c r="BQ50" s="7"/>
    </row>
    <row r="51" spans="1:71" x14ac:dyDescent="0.25">
      <c r="A51" s="142">
        <v>50525</v>
      </c>
      <c r="B51" s="35" t="s">
        <v>80</v>
      </c>
      <c r="C51" s="75">
        <v>0</v>
      </c>
      <c r="D51" s="75">
        <v>11600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f t="shared" si="9"/>
        <v>11600</v>
      </c>
      <c r="M51" s="75"/>
      <c r="N51" s="79">
        <v>0</v>
      </c>
      <c r="O51" s="79">
        <v>0</v>
      </c>
      <c r="P51" s="75">
        <v>0</v>
      </c>
      <c r="Q51" s="75">
        <v>0</v>
      </c>
      <c r="R51" s="79">
        <v>0</v>
      </c>
      <c r="S51" s="79">
        <v>0</v>
      </c>
      <c r="T51" s="75">
        <v>0</v>
      </c>
      <c r="U51" s="75">
        <v>0</v>
      </c>
      <c r="V51" s="79">
        <v>0</v>
      </c>
      <c r="W51" s="79">
        <v>0</v>
      </c>
      <c r="X51" s="112">
        <v>45600</v>
      </c>
      <c r="Y51" s="112">
        <v>0</v>
      </c>
      <c r="Z51" s="79">
        <v>0</v>
      </c>
      <c r="AA51" s="80">
        <v>0</v>
      </c>
      <c r="AB51" s="112">
        <v>0</v>
      </c>
      <c r="AC51" s="112">
        <v>0</v>
      </c>
      <c r="AD51" s="81">
        <v>0</v>
      </c>
      <c r="AE51" s="81">
        <v>0</v>
      </c>
      <c r="AF51" s="79">
        <v>0</v>
      </c>
      <c r="AG51" s="114">
        <v>0</v>
      </c>
      <c r="AH51" s="82">
        <v>0</v>
      </c>
      <c r="AI51" s="82">
        <v>0</v>
      </c>
      <c r="AJ51" s="112">
        <v>0</v>
      </c>
      <c r="AK51" s="112">
        <v>0</v>
      </c>
      <c r="AL51" s="79">
        <v>0</v>
      </c>
      <c r="AM51" s="79">
        <v>0</v>
      </c>
      <c r="AN51" s="112">
        <v>0</v>
      </c>
      <c r="AO51" s="116">
        <v>0</v>
      </c>
      <c r="AP51" s="79">
        <v>0</v>
      </c>
      <c r="AQ51" s="79">
        <v>0</v>
      </c>
      <c r="AR51" s="112">
        <v>0</v>
      </c>
      <c r="AS51" s="112">
        <v>0</v>
      </c>
      <c r="AT51" s="79">
        <v>0</v>
      </c>
      <c r="AU51" s="79">
        <v>0</v>
      </c>
      <c r="AV51" s="112">
        <v>0</v>
      </c>
      <c r="AW51" s="112">
        <v>0</v>
      </c>
      <c r="AX51" s="75">
        <f t="shared" si="10"/>
        <v>45600</v>
      </c>
      <c r="AY51" s="75"/>
      <c r="AZ51" s="75">
        <v>160000</v>
      </c>
      <c r="BA51" s="75"/>
      <c r="BB51" s="118">
        <f t="shared" si="11"/>
        <v>217200</v>
      </c>
      <c r="BD51" s="124">
        <f t="shared" si="12"/>
        <v>45600</v>
      </c>
      <c r="BE51" s="124">
        <f t="shared" si="13"/>
        <v>0</v>
      </c>
      <c r="BI51" s="5">
        <v>138678</v>
      </c>
      <c r="BL51" s="75"/>
      <c r="BM51" s="75">
        <v>45600</v>
      </c>
      <c r="BN51" s="75">
        <f t="shared" si="14"/>
        <v>46411.68</v>
      </c>
      <c r="BO51" s="143">
        <v>1.78E-2</v>
      </c>
      <c r="BP51" s="148"/>
      <c r="BQ51" s="7"/>
    </row>
    <row r="52" spans="1:71" x14ac:dyDescent="0.25">
      <c r="A52" s="142">
        <v>50530</v>
      </c>
      <c r="B52" s="35" t="s">
        <v>81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f t="shared" si="9"/>
        <v>0</v>
      </c>
      <c r="M52" s="75"/>
      <c r="N52" s="79">
        <v>0</v>
      </c>
      <c r="O52" s="79">
        <v>0</v>
      </c>
      <c r="P52" s="75">
        <v>0</v>
      </c>
      <c r="Q52" s="75">
        <v>0</v>
      </c>
      <c r="R52" s="79">
        <v>0</v>
      </c>
      <c r="S52" s="79">
        <v>0</v>
      </c>
      <c r="T52" s="75">
        <v>0</v>
      </c>
      <c r="U52" s="75">
        <v>0</v>
      </c>
      <c r="V52" s="79">
        <v>0</v>
      </c>
      <c r="W52" s="79">
        <v>0</v>
      </c>
      <c r="X52" s="112">
        <v>6000</v>
      </c>
      <c r="Y52" s="112">
        <v>0</v>
      </c>
      <c r="Z52" s="79">
        <v>0</v>
      </c>
      <c r="AA52" s="80">
        <v>0</v>
      </c>
      <c r="AB52" s="112">
        <v>0</v>
      </c>
      <c r="AC52" s="112">
        <v>0</v>
      </c>
      <c r="AD52" s="81">
        <v>0</v>
      </c>
      <c r="AE52" s="81">
        <v>0</v>
      </c>
      <c r="AF52" s="79">
        <v>0</v>
      </c>
      <c r="AG52" s="114">
        <v>0</v>
      </c>
      <c r="AH52" s="82">
        <v>0</v>
      </c>
      <c r="AI52" s="82">
        <v>0</v>
      </c>
      <c r="AJ52" s="112">
        <v>0</v>
      </c>
      <c r="AK52" s="112">
        <v>0</v>
      </c>
      <c r="AL52" s="79">
        <v>0</v>
      </c>
      <c r="AM52" s="79">
        <v>0</v>
      </c>
      <c r="AN52" s="112">
        <v>0</v>
      </c>
      <c r="AO52" s="116">
        <v>0</v>
      </c>
      <c r="AP52" s="79">
        <v>0</v>
      </c>
      <c r="AQ52" s="79">
        <v>0</v>
      </c>
      <c r="AR52" s="112">
        <v>0</v>
      </c>
      <c r="AS52" s="112">
        <v>0</v>
      </c>
      <c r="AT52" s="79">
        <v>0</v>
      </c>
      <c r="AU52" s="79">
        <v>0</v>
      </c>
      <c r="AV52" s="112">
        <v>0</v>
      </c>
      <c r="AW52" s="112">
        <v>0</v>
      </c>
      <c r="AX52" s="75">
        <f t="shared" si="10"/>
        <v>6000</v>
      </c>
      <c r="AY52" s="75"/>
      <c r="AZ52" s="75">
        <v>16000</v>
      </c>
      <c r="BA52" s="75"/>
      <c r="BB52" s="118">
        <f t="shared" si="11"/>
        <v>22000</v>
      </c>
      <c r="BD52" s="124">
        <f t="shared" si="12"/>
        <v>6000</v>
      </c>
      <c r="BE52" s="124">
        <f t="shared" si="13"/>
        <v>0</v>
      </c>
      <c r="BI52" s="5">
        <f>BI49-SUM(BI50:BI51)</f>
        <v>1419</v>
      </c>
      <c r="BL52" s="75"/>
      <c r="BM52" s="75">
        <v>6000</v>
      </c>
      <c r="BN52" s="75">
        <f t="shared" si="14"/>
        <v>6106.8</v>
      </c>
      <c r="BO52" s="143">
        <v>1.78E-2</v>
      </c>
    </row>
    <row r="53" spans="1:71" x14ac:dyDescent="0.25">
      <c r="A53" s="142">
        <v>50605</v>
      </c>
      <c r="B53" s="35" t="s">
        <v>82</v>
      </c>
      <c r="C53" s="75">
        <v>0</v>
      </c>
      <c r="D53" s="75">
        <v>0</v>
      </c>
      <c r="E53" s="75">
        <v>0</v>
      </c>
      <c r="F53" s="75">
        <v>864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f t="shared" si="9"/>
        <v>864</v>
      </c>
      <c r="M53" s="75"/>
      <c r="N53" s="79">
        <v>0</v>
      </c>
      <c r="O53" s="79">
        <v>0</v>
      </c>
      <c r="P53" s="75">
        <v>0</v>
      </c>
      <c r="Q53" s="75">
        <v>0</v>
      </c>
      <c r="R53" s="79">
        <v>0</v>
      </c>
      <c r="S53" s="79">
        <v>0</v>
      </c>
      <c r="T53" s="75">
        <v>0</v>
      </c>
      <c r="U53" s="75">
        <v>0</v>
      </c>
      <c r="V53" s="79">
        <v>0</v>
      </c>
      <c r="W53" s="79">
        <v>0</v>
      </c>
      <c r="X53" s="112">
        <v>0</v>
      </c>
      <c r="Y53" s="112">
        <v>0</v>
      </c>
      <c r="Z53" s="79">
        <v>0</v>
      </c>
      <c r="AA53" s="80">
        <v>0</v>
      </c>
      <c r="AB53" s="112">
        <v>0</v>
      </c>
      <c r="AC53" s="112">
        <v>0</v>
      </c>
      <c r="AD53" s="81">
        <v>0</v>
      </c>
      <c r="AE53" s="81">
        <v>0</v>
      </c>
      <c r="AF53" s="79">
        <v>0</v>
      </c>
      <c r="AG53" s="114">
        <v>0</v>
      </c>
      <c r="AH53" s="82">
        <v>0</v>
      </c>
      <c r="AI53" s="82">
        <v>0</v>
      </c>
      <c r="AJ53" s="112">
        <v>0</v>
      </c>
      <c r="AK53" s="112">
        <v>0</v>
      </c>
      <c r="AL53" s="79">
        <v>0</v>
      </c>
      <c r="AM53" s="79">
        <v>0</v>
      </c>
      <c r="AN53" s="112">
        <v>0</v>
      </c>
      <c r="AO53" s="116">
        <v>0</v>
      </c>
      <c r="AP53" s="79">
        <v>0</v>
      </c>
      <c r="AQ53" s="79">
        <v>0</v>
      </c>
      <c r="AR53" s="112">
        <v>0</v>
      </c>
      <c r="AS53" s="112">
        <v>0</v>
      </c>
      <c r="AT53" s="79">
        <v>0</v>
      </c>
      <c r="AU53" s="79">
        <v>0</v>
      </c>
      <c r="AV53" s="112">
        <v>0</v>
      </c>
      <c r="AW53" s="112">
        <v>0</v>
      </c>
      <c r="AX53" s="75">
        <f t="shared" si="10"/>
        <v>0</v>
      </c>
      <c r="AY53" s="75"/>
      <c r="AZ53" s="75">
        <v>795096</v>
      </c>
      <c r="BA53" s="75"/>
      <c r="BB53" s="118">
        <f t="shared" si="11"/>
        <v>795960</v>
      </c>
      <c r="BD53" s="124">
        <f t="shared" si="12"/>
        <v>0</v>
      </c>
      <c r="BE53" s="124">
        <f t="shared" si="13"/>
        <v>0</v>
      </c>
      <c r="BL53" s="75"/>
      <c r="BM53" s="75">
        <v>0</v>
      </c>
      <c r="BN53" s="75">
        <f t="shared" si="14"/>
        <v>0</v>
      </c>
      <c r="BO53" s="143">
        <v>1.78E-2</v>
      </c>
      <c r="BP53" s="147"/>
      <c r="BQ53" s="24"/>
    </row>
    <row r="54" spans="1:71" x14ac:dyDescent="0.25">
      <c r="A54" s="142">
        <v>50610</v>
      </c>
      <c r="B54" s="35" t="s">
        <v>83</v>
      </c>
      <c r="C54" s="75">
        <v>0</v>
      </c>
      <c r="D54" s="75">
        <v>0</v>
      </c>
      <c r="E54" s="75">
        <v>0</v>
      </c>
      <c r="F54" s="75">
        <v>852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f t="shared" si="9"/>
        <v>852</v>
      </c>
      <c r="M54" s="75"/>
      <c r="N54" s="79">
        <v>0</v>
      </c>
      <c r="O54" s="79">
        <v>0</v>
      </c>
      <c r="P54" s="75">
        <v>0</v>
      </c>
      <c r="Q54" s="75">
        <v>0</v>
      </c>
      <c r="R54" s="79">
        <v>0</v>
      </c>
      <c r="S54" s="79">
        <v>0</v>
      </c>
      <c r="T54" s="75">
        <v>0</v>
      </c>
      <c r="U54" s="75">
        <v>0</v>
      </c>
      <c r="V54" s="79">
        <v>0</v>
      </c>
      <c r="W54" s="79">
        <v>0</v>
      </c>
      <c r="X54" s="112">
        <v>0</v>
      </c>
      <c r="Y54" s="112">
        <v>0</v>
      </c>
      <c r="Z54" s="79">
        <v>0</v>
      </c>
      <c r="AA54" s="80">
        <v>0</v>
      </c>
      <c r="AB54" s="112">
        <v>0</v>
      </c>
      <c r="AC54" s="112">
        <v>0</v>
      </c>
      <c r="AD54" s="81">
        <v>0</v>
      </c>
      <c r="AE54" s="81">
        <v>0</v>
      </c>
      <c r="AF54" s="79">
        <v>0</v>
      </c>
      <c r="AG54" s="114">
        <v>0</v>
      </c>
      <c r="AH54" s="82">
        <v>0</v>
      </c>
      <c r="AI54" s="82">
        <v>0</v>
      </c>
      <c r="AJ54" s="112">
        <v>0</v>
      </c>
      <c r="AK54" s="112">
        <v>0</v>
      </c>
      <c r="AL54" s="79">
        <v>0</v>
      </c>
      <c r="AM54" s="79">
        <v>0</v>
      </c>
      <c r="AN54" s="112">
        <v>0</v>
      </c>
      <c r="AO54" s="116">
        <v>0</v>
      </c>
      <c r="AP54" s="79">
        <v>0</v>
      </c>
      <c r="AQ54" s="79">
        <v>0</v>
      </c>
      <c r="AR54" s="112">
        <v>0</v>
      </c>
      <c r="AS54" s="112">
        <v>0</v>
      </c>
      <c r="AT54" s="79">
        <v>0</v>
      </c>
      <c r="AU54" s="79">
        <v>0</v>
      </c>
      <c r="AV54" s="112">
        <v>18876</v>
      </c>
      <c r="AW54" s="112">
        <v>0</v>
      </c>
      <c r="AX54" s="75">
        <f t="shared" si="10"/>
        <v>18876</v>
      </c>
      <c r="AY54" s="75"/>
      <c r="AZ54" s="75">
        <v>91188</v>
      </c>
      <c r="BA54" s="75"/>
      <c r="BB54" s="118">
        <f t="shared" si="11"/>
        <v>110916</v>
      </c>
      <c r="BD54" s="124">
        <f t="shared" si="12"/>
        <v>18876</v>
      </c>
      <c r="BE54" s="124">
        <f t="shared" si="13"/>
        <v>0</v>
      </c>
      <c r="BL54" s="75"/>
      <c r="BM54" s="75">
        <v>18876</v>
      </c>
      <c r="BN54" s="75">
        <f t="shared" si="14"/>
        <v>19211.9928</v>
      </c>
      <c r="BO54" s="143">
        <v>1.78E-2</v>
      </c>
      <c r="BQ54" s="7"/>
      <c r="BR54" s="13"/>
    </row>
    <row r="55" spans="1:71" x14ac:dyDescent="0.25">
      <c r="A55" s="142">
        <v>50615</v>
      </c>
      <c r="B55" s="35" t="s">
        <v>84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f t="shared" si="9"/>
        <v>0</v>
      </c>
      <c r="M55" s="75"/>
      <c r="N55" s="79">
        <v>0</v>
      </c>
      <c r="O55" s="79">
        <v>0</v>
      </c>
      <c r="P55" s="75">
        <v>0</v>
      </c>
      <c r="Q55" s="75">
        <v>0</v>
      </c>
      <c r="R55" s="79">
        <v>0</v>
      </c>
      <c r="S55" s="79">
        <v>0</v>
      </c>
      <c r="T55" s="75">
        <v>0</v>
      </c>
      <c r="U55" s="75">
        <v>0</v>
      </c>
      <c r="V55" s="79">
        <v>0</v>
      </c>
      <c r="W55" s="79">
        <v>0</v>
      </c>
      <c r="X55" s="112">
        <v>0</v>
      </c>
      <c r="Y55" s="112">
        <v>0</v>
      </c>
      <c r="Z55" s="79">
        <v>0</v>
      </c>
      <c r="AA55" s="80">
        <v>0</v>
      </c>
      <c r="AB55" s="112">
        <v>0</v>
      </c>
      <c r="AC55" s="112">
        <v>0</v>
      </c>
      <c r="AD55" s="81">
        <v>0</v>
      </c>
      <c r="AE55" s="81">
        <v>0</v>
      </c>
      <c r="AF55" s="79">
        <v>0</v>
      </c>
      <c r="AG55" s="114">
        <v>0</v>
      </c>
      <c r="AH55" s="82">
        <v>0</v>
      </c>
      <c r="AI55" s="82">
        <v>0</v>
      </c>
      <c r="AJ55" s="112">
        <v>0</v>
      </c>
      <c r="AK55" s="112">
        <v>0</v>
      </c>
      <c r="AL55" s="79">
        <v>0</v>
      </c>
      <c r="AM55" s="79">
        <v>0</v>
      </c>
      <c r="AN55" s="112">
        <v>0</v>
      </c>
      <c r="AO55" s="116">
        <v>0</v>
      </c>
      <c r="AP55" s="79">
        <v>0</v>
      </c>
      <c r="AQ55" s="79">
        <v>0</v>
      </c>
      <c r="AR55" s="112">
        <v>0</v>
      </c>
      <c r="AS55" s="112">
        <v>0</v>
      </c>
      <c r="AT55" s="79">
        <v>0</v>
      </c>
      <c r="AU55" s="79">
        <v>0</v>
      </c>
      <c r="AV55" s="112">
        <v>0</v>
      </c>
      <c r="AW55" s="112">
        <v>0</v>
      </c>
      <c r="AX55" s="75">
        <f t="shared" si="10"/>
        <v>0</v>
      </c>
      <c r="AY55" s="75"/>
      <c r="AZ55" s="75">
        <v>450816</v>
      </c>
      <c r="BA55" s="75"/>
      <c r="BB55" s="118">
        <f t="shared" si="11"/>
        <v>450816</v>
      </c>
      <c r="BD55" s="124">
        <f t="shared" si="12"/>
        <v>0</v>
      </c>
      <c r="BE55" s="124">
        <f t="shared" si="13"/>
        <v>0</v>
      </c>
      <c r="BL55" s="75"/>
      <c r="BM55" s="75">
        <v>0</v>
      </c>
      <c r="BN55" s="75">
        <f t="shared" si="14"/>
        <v>0</v>
      </c>
      <c r="BO55" s="143">
        <v>1.78E-2</v>
      </c>
      <c r="BP55" s="148"/>
      <c r="BQ55" s="7"/>
    </row>
    <row r="56" spans="1:71" x14ac:dyDescent="0.25">
      <c r="A56" s="142">
        <v>50620</v>
      </c>
      <c r="B56" s="35" t="s">
        <v>85</v>
      </c>
      <c r="C56" s="75">
        <v>0</v>
      </c>
      <c r="D56" s="75">
        <v>0</v>
      </c>
      <c r="E56" s="75">
        <v>0</v>
      </c>
      <c r="F56" s="75">
        <v>3948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f t="shared" si="9"/>
        <v>3948</v>
      </c>
      <c r="M56" s="75"/>
      <c r="N56" s="79">
        <v>0</v>
      </c>
      <c r="O56" s="79">
        <v>0</v>
      </c>
      <c r="P56" s="75">
        <v>0</v>
      </c>
      <c r="Q56" s="75">
        <v>0</v>
      </c>
      <c r="R56" s="79">
        <v>0</v>
      </c>
      <c r="S56" s="79">
        <v>0</v>
      </c>
      <c r="T56" s="75">
        <v>0</v>
      </c>
      <c r="U56" s="75">
        <v>0</v>
      </c>
      <c r="V56" s="79">
        <v>0</v>
      </c>
      <c r="W56" s="79">
        <v>0</v>
      </c>
      <c r="X56" s="112">
        <v>0</v>
      </c>
      <c r="Y56" s="112">
        <v>0</v>
      </c>
      <c r="Z56" s="79">
        <v>0</v>
      </c>
      <c r="AA56" s="80">
        <v>0</v>
      </c>
      <c r="AB56" s="112">
        <v>0</v>
      </c>
      <c r="AC56" s="112">
        <v>0</v>
      </c>
      <c r="AD56" s="81">
        <v>0</v>
      </c>
      <c r="AE56" s="81">
        <v>0</v>
      </c>
      <c r="AF56" s="79">
        <v>0</v>
      </c>
      <c r="AG56" s="114">
        <v>0</v>
      </c>
      <c r="AH56" s="82">
        <v>0</v>
      </c>
      <c r="AI56" s="82">
        <v>0</v>
      </c>
      <c r="AJ56" s="112">
        <v>0</v>
      </c>
      <c r="AK56" s="112">
        <v>0</v>
      </c>
      <c r="AL56" s="79">
        <v>0</v>
      </c>
      <c r="AM56" s="79">
        <v>0</v>
      </c>
      <c r="AN56" s="112">
        <v>0</v>
      </c>
      <c r="AO56" s="116">
        <v>0</v>
      </c>
      <c r="AP56" s="79">
        <v>0</v>
      </c>
      <c r="AQ56" s="79">
        <v>0</v>
      </c>
      <c r="AR56" s="112">
        <v>0</v>
      </c>
      <c r="AS56" s="112">
        <v>0</v>
      </c>
      <c r="AT56" s="79">
        <v>0</v>
      </c>
      <c r="AU56" s="79">
        <v>0</v>
      </c>
      <c r="AV56" s="112">
        <v>0</v>
      </c>
      <c r="AW56" s="112">
        <v>0</v>
      </c>
      <c r="AX56" s="75">
        <f t="shared" ref="AX56:AX78" si="15">SUM(N56:AW56)</f>
        <v>0</v>
      </c>
      <c r="AY56" s="75"/>
      <c r="AZ56" s="75">
        <v>0</v>
      </c>
      <c r="BA56" s="75"/>
      <c r="BB56" s="118">
        <f t="shared" si="11"/>
        <v>3948</v>
      </c>
      <c r="BD56" s="124">
        <f t="shared" si="12"/>
        <v>0</v>
      </c>
      <c r="BE56" s="124">
        <f t="shared" si="13"/>
        <v>0</v>
      </c>
      <c r="BL56" s="75"/>
      <c r="BM56" s="75">
        <v>0</v>
      </c>
      <c r="BN56" s="75">
        <f t="shared" si="14"/>
        <v>0</v>
      </c>
      <c r="BO56" s="143">
        <v>1.78E-2</v>
      </c>
      <c r="BQ56" s="26"/>
    </row>
    <row r="57" spans="1:71" x14ac:dyDescent="0.25">
      <c r="A57" s="142">
        <v>50625</v>
      </c>
      <c r="B57" s="35" t="s">
        <v>86</v>
      </c>
      <c r="C57" s="75">
        <v>0</v>
      </c>
      <c r="D57" s="75">
        <v>0</v>
      </c>
      <c r="E57" s="75">
        <v>0</v>
      </c>
      <c r="F57" s="75">
        <v>5112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f t="shared" si="9"/>
        <v>5112</v>
      </c>
      <c r="M57" s="75"/>
      <c r="N57" s="79">
        <v>0</v>
      </c>
      <c r="O57" s="79">
        <v>0</v>
      </c>
      <c r="P57" s="75">
        <v>0</v>
      </c>
      <c r="Q57" s="75">
        <v>0</v>
      </c>
      <c r="R57" s="79">
        <v>0</v>
      </c>
      <c r="S57" s="79">
        <v>0</v>
      </c>
      <c r="T57" s="75">
        <v>0</v>
      </c>
      <c r="U57" s="75">
        <v>0</v>
      </c>
      <c r="V57" s="79">
        <v>0</v>
      </c>
      <c r="W57" s="79">
        <v>0</v>
      </c>
      <c r="X57" s="112">
        <v>0</v>
      </c>
      <c r="Y57" s="112">
        <v>0</v>
      </c>
      <c r="Z57" s="79">
        <v>0</v>
      </c>
      <c r="AA57" s="80">
        <v>0</v>
      </c>
      <c r="AB57" s="112">
        <v>0</v>
      </c>
      <c r="AC57" s="112">
        <v>0</v>
      </c>
      <c r="AD57" s="81">
        <v>0</v>
      </c>
      <c r="AE57" s="81">
        <v>0</v>
      </c>
      <c r="AF57" s="79">
        <v>0</v>
      </c>
      <c r="AG57" s="114">
        <v>0</v>
      </c>
      <c r="AH57" s="82">
        <v>0</v>
      </c>
      <c r="AI57" s="82">
        <v>0</v>
      </c>
      <c r="AJ57" s="112">
        <v>0</v>
      </c>
      <c r="AK57" s="112">
        <v>0</v>
      </c>
      <c r="AL57" s="79">
        <v>0</v>
      </c>
      <c r="AM57" s="79">
        <v>0</v>
      </c>
      <c r="AN57" s="112">
        <v>0</v>
      </c>
      <c r="AO57" s="116">
        <v>0</v>
      </c>
      <c r="AP57" s="79">
        <v>0</v>
      </c>
      <c r="AQ57" s="79">
        <v>0</v>
      </c>
      <c r="AR57" s="112">
        <v>0</v>
      </c>
      <c r="AS57" s="112">
        <v>0</v>
      </c>
      <c r="AT57" s="79">
        <v>0</v>
      </c>
      <c r="AU57" s="79">
        <v>0</v>
      </c>
      <c r="AV57" s="112">
        <v>0</v>
      </c>
      <c r="AW57" s="112">
        <v>0</v>
      </c>
      <c r="AX57" s="75">
        <f t="shared" si="15"/>
        <v>0</v>
      </c>
      <c r="AY57" s="75"/>
      <c r="AZ57" s="75">
        <v>0</v>
      </c>
      <c r="BA57" s="75"/>
      <c r="BB57" s="118">
        <f t="shared" si="11"/>
        <v>5112</v>
      </c>
      <c r="BD57" s="124">
        <f t="shared" si="12"/>
        <v>0</v>
      </c>
      <c r="BE57" s="124">
        <f t="shared" si="13"/>
        <v>0</v>
      </c>
      <c r="BL57" s="75"/>
      <c r="BM57" s="75">
        <v>0</v>
      </c>
      <c r="BN57" s="75">
        <f t="shared" si="14"/>
        <v>0</v>
      </c>
      <c r="BO57" s="143">
        <v>1.78E-2</v>
      </c>
    </row>
    <row r="58" spans="1:71" x14ac:dyDescent="0.25">
      <c r="A58" s="142">
        <v>50630</v>
      </c>
      <c r="B58" s="35" t="s">
        <v>87</v>
      </c>
      <c r="C58" s="75">
        <v>0</v>
      </c>
      <c r="D58" s="75">
        <v>0</v>
      </c>
      <c r="E58" s="75">
        <v>0</v>
      </c>
      <c r="F58" s="75">
        <v>2172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f t="shared" si="9"/>
        <v>2172</v>
      </c>
      <c r="M58" s="75"/>
      <c r="N58" s="79">
        <v>0</v>
      </c>
      <c r="O58" s="79">
        <v>32256</v>
      </c>
      <c r="P58" s="75">
        <v>0</v>
      </c>
      <c r="Q58" s="75">
        <v>0</v>
      </c>
      <c r="R58" s="79">
        <v>0</v>
      </c>
      <c r="S58" s="79">
        <v>3936</v>
      </c>
      <c r="T58" s="75">
        <v>0</v>
      </c>
      <c r="U58" s="75">
        <f>462+924</f>
        <v>1386</v>
      </c>
      <c r="V58" s="79">
        <v>0</v>
      </c>
      <c r="W58" s="79">
        <v>0</v>
      </c>
      <c r="X58" s="112">
        <v>0</v>
      </c>
      <c r="Y58" s="112">
        <v>336</v>
      </c>
      <c r="Z58" s="79">
        <v>0</v>
      </c>
      <c r="AA58" s="80">
        <v>0</v>
      </c>
      <c r="AB58" s="112">
        <v>0</v>
      </c>
      <c r="AC58" s="112">
        <v>30024</v>
      </c>
      <c r="AD58" s="81">
        <v>0</v>
      </c>
      <c r="AE58" s="81">
        <v>0</v>
      </c>
      <c r="AF58" s="79">
        <v>0</v>
      </c>
      <c r="AG58" s="114">
        <v>15876</v>
      </c>
      <c r="AH58" s="82">
        <v>0</v>
      </c>
      <c r="AI58" s="82">
        <v>0</v>
      </c>
      <c r="AJ58" s="112">
        <v>0</v>
      </c>
      <c r="AK58" s="112">
        <v>8928</v>
      </c>
      <c r="AL58" s="79">
        <v>0</v>
      </c>
      <c r="AM58" s="79">
        <v>996</v>
      </c>
      <c r="AN58" s="112">
        <v>0</v>
      </c>
      <c r="AO58" s="116">
        <v>8808</v>
      </c>
      <c r="AP58" s="79">
        <v>0</v>
      </c>
      <c r="AQ58" s="79">
        <v>3996</v>
      </c>
      <c r="AR58" s="112">
        <v>0</v>
      </c>
      <c r="AS58" s="112">
        <v>492</v>
      </c>
      <c r="AT58" s="79">
        <v>0</v>
      </c>
      <c r="AU58" s="79">
        <v>588</v>
      </c>
      <c r="AV58" s="112">
        <v>0</v>
      </c>
      <c r="AW58" s="112">
        <v>12180</v>
      </c>
      <c r="AX58" s="75">
        <f t="shared" si="15"/>
        <v>119802</v>
      </c>
      <c r="AY58" s="75"/>
      <c r="AZ58" s="75">
        <v>0</v>
      </c>
      <c r="BA58" s="75"/>
      <c r="BB58" s="118">
        <f t="shared" si="11"/>
        <v>121974</v>
      </c>
      <c r="BD58" s="124">
        <f t="shared" si="12"/>
        <v>0</v>
      </c>
      <c r="BE58" s="124">
        <f t="shared" si="13"/>
        <v>119802</v>
      </c>
      <c r="BL58" s="75"/>
      <c r="BM58" s="75">
        <v>118878</v>
      </c>
      <c r="BN58" s="75">
        <f t="shared" si="14"/>
        <v>120994.02840000001</v>
      </c>
      <c r="BO58" s="143">
        <v>1.78E-2</v>
      </c>
      <c r="BQ58" s="7"/>
    </row>
    <row r="59" spans="1:71" ht="14.25" customHeight="1" x14ac:dyDescent="0.25">
      <c r="A59" s="142">
        <v>50635</v>
      </c>
      <c r="B59" s="35" t="s">
        <v>88</v>
      </c>
      <c r="C59" s="75">
        <v>0</v>
      </c>
      <c r="D59" s="75">
        <v>0</v>
      </c>
      <c r="E59" s="75">
        <v>0</v>
      </c>
      <c r="F59" s="75">
        <v>840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f t="shared" si="9"/>
        <v>840</v>
      </c>
      <c r="M59" s="75"/>
      <c r="N59" s="79">
        <v>85224</v>
      </c>
      <c r="O59" s="79">
        <v>0</v>
      </c>
      <c r="P59" s="75">
        <v>0</v>
      </c>
      <c r="Q59" s="75">
        <v>0</v>
      </c>
      <c r="R59" s="79">
        <v>20148</v>
      </c>
      <c r="S59" s="79">
        <v>0</v>
      </c>
      <c r="T59" s="75">
        <f>2187+4376</f>
        <v>6563</v>
      </c>
      <c r="U59" s="75">
        <v>0</v>
      </c>
      <c r="V59" s="79">
        <v>0</v>
      </c>
      <c r="W59" s="79">
        <v>0</v>
      </c>
      <c r="X59" s="112">
        <v>0</v>
      </c>
      <c r="Y59" s="112">
        <v>0</v>
      </c>
      <c r="Z59" s="79">
        <v>0</v>
      </c>
      <c r="AA59" s="80">
        <v>0</v>
      </c>
      <c r="AB59" s="112">
        <v>92832</v>
      </c>
      <c r="AC59" s="112">
        <v>0</v>
      </c>
      <c r="AD59" s="81">
        <v>0</v>
      </c>
      <c r="AE59" s="81">
        <v>0</v>
      </c>
      <c r="AF59" s="79">
        <v>56340</v>
      </c>
      <c r="AG59" s="114">
        <v>0</v>
      </c>
      <c r="AH59" s="82">
        <v>0</v>
      </c>
      <c r="AI59" s="82">
        <v>0</v>
      </c>
      <c r="AJ59" s="112">
        <v>28140</v>
      </c>
      <c r="AK59" s="112">
        <v>0</v>
      </c>
      <c r="AL59" s="79">
        <v>3372</v>
      </c>
      <c r="AM59" s="79">
        <v>0</v>
      </c>
      <c r="AN59" s="112">
        <v>16860</v>
      </c>
      <c r="AO59" s="116">
        <v>0</v>
      </c>
      <c r="AP59" s="79">
        <v>0</v>
      </c>
      <c r="AQ59" s="79">
        <v>0</v>
      </c>
      <c r="AR59" s="112">
        <v>0</v>
      </c>
      <c r="AS59" s="112">
        <v>0</v>
      </c>
      <c r="AT59" s="79">
        <v>1980</v>
      </c>
      <c r="AU59" s="79">
        <v>0</v>
      </c>
      <c r="AV59" s="112">
        <v>2628</v>
      </c>
      <c r="AW59" s="112">
        <v>0</v>
      </c>
      <c r="AX59" s="75">
        <f t="shared" si="15"/>
        <v>314087</v>
      </c>
      <c r="AY59" s="75"/>
      <c r="AZ59" s="75">
        <v>1320</v>
      </c>
      <c r="BA59" s="75"/>
      <c r="BB59" s="118">
        <f t="shared" si="11"/>
        <v>316247</v>
      </c>
      <c r="BD59" s="124">
        <f t="shared" si="12"/>
        <v>314087</v>
      </c>
      <c r="BE59" s="124">
        <f t="shared" si="13"/>
        <v>0</v>
      </c>
      <c r="BL59" s="75"/>
      <c r="BM59" s="75">
        <v>309711</v>
      </c>
      <c r="BN59" s="75">
        <f t="shared" si="14"/>
        <v>315223.85580000002</v>
      </c>
      <c r="BO59" s="143">
        <v>1.78E-2</v>
      </c>
      <c r="BQ59" s="7"/>
    </row>
    <row r="60" spans="1:71" x14ac:dyDescent="0.25">
      <c r="A60" s="142">
        <v>50640</v>
      </c>
      <c r="B60" s="35" t="s">
        <v>89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f t="shared" si="9"/>
        <v>0</v>
      </c>
      <c r="M60" s="75"/>
      <c r="N60" s="79">
        <v>0</v>
      </c>
      <c r="O60" s="79">
        <v>0</v>
      </c>
      <c r="P60" s="75">
        <v>0</v>
      </c>
      <c r="Q60" s="75">
        <v>0</v>
      </c>
      <c r="R60" s="79">
        <v>0</v>
      </c>
      <c r="S60" s="79">
        <v>0</v>
      </c>
      <c r="T60" s="75">
        <v>0</v>
      </c>
      <c r="U60" s="75">
        <v>0</v>
      </c>
      <c r="V60" s="79">
        <v>0</v>
      </c>
      <c r="W60" s="79">
        <v>0</v>
      </c>
      <c r="X60" s="112">
        <v>0</v>
      </c>
      <c r="Y60" s="112">
        <v>0</v>
      </c>
      <c r="Z60" s="79">
        <v>0</v>
      </c>
      <c r="AA60" s="80">
        <v>0</v>
      </c>
      <c r="AB60" s="112">
        <v>0</v>
      </c>
      <c r="AC60" s="112">
        <v>0</v>
      </c>
      <c r="AD60" s="81">
        <v>0</v>
      </c>
      <c r="AE60" s="81">
        <v>0</v>
      </c>
      <c r="AF60" s="79">
        <v>0</v>
      </c>
      <c r="AG60" s="114">
        <v>0</v>
      </c>
      <c r="AH60" s="82">
        <v>0</v>
      </c>
      <c r="AI60" s="82">
        <v>0</v>
      </c>
      <c r="AJ60" s="112">
        <v>0</v>
      </c>
      <c r="AK60" s="112">
        <v>0</v>
      </c>
      <c r="AL60" s="79">
        <v>0</v>
      </c>
      <c r="AM60" s="79">
        <v>0</v>
      </c>
      <c r="AN60" s="112">
        <v>0</v>
      </c>
      <c r="AO60" s="116">
        <v>0</v>
      </c>
      <c r="AP60" s="79">
        <v>0</v>
      </c>
      <c r="AQ60" s="79">
        <v>0</v>
      </c>
      <c r="AR60" s="112">
        <v>0</v>
      </c>
      <c r="AS60" s="112">
        <v>0</v>
      </c>
      <c r="AT60" s="79">
        <v>0</v>
      </c>
      <c r="AU60" s="79">
        <v>0</v>
      </c>
      <c r="AV60" s="112">
        <v>0</v>
      </c>
      <c r="AW60" s="112">
        <v>0</v>
      </c>
      <c r="AX60" s="75">
        <f t="shared" si="15"/>
        <v>0</v>
      </c>
      <c r="AY60" s="75"/>
      <c r="AZ60" s="75">
        <v>541</v>
      </c>
      <c r="BA60" s="75"/>
      <c r="BB60" s="118">
        <f t="shared" si="11"/>
        <v>541</v>
      </c>
      <c r="BD60" s="124">
        <f t="shared" si="12"/>
        <v>0</v>
      </c>
      <c r="BE60" s="124">
        <f t="shared" si="13"/>
        <v>0</v>
      </c>
      <c r="BL60" s="75"/>
      <c r="BM60" s="75">
        <v>0</v>
      </c>
      <c r="BN60" s="75">
        <f t="shared" si="14"/>
        <v>0</v>
      </c>
      <c r="BO60" s="143">
        <v>1.78E-2</v>
      </c>
      <c r="BQ60" s="26"/>
    </row>
    <row r="61" spans="1:71" x14ac:dyDescent="0.25">
      <c r="A61" s="142">
        <v>50810</v>
      </c>
      <c r="B61" s="35" t="s">
        <v>90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f t="shared" si="9"/>
        <v>0</v>
      </c>
      <c r="M61" s="75"/>
      <c r="N61" s="79">
        <v>72000</v>
      </c>
      <c r="O61" s="79">
        <v>0</v>
      </c>
      <c r="P61" s="75">
        <v>0</v>
      </c>
      <c r="Q61" s="75">
        <v>0</v>
      </c>
      <c r="R61" s="79">
        <v>105448</v>
      </c>
      <c r="S61" s="79">
        <v>0</v>
      </c>
      <c r="T61" s="75">
        <f>25768+171118</f>
        <v>196886</v>
      </c>
      <c r="U61" s="75">
        <v>0</v>
      </c>
      <c r="V61" s="79">
        <v>348980</v>
      </c>
      <c r="W61" s="79">
        <v>0</v>
      </c>
      <c r="X61" s="112">
        <v>0</v>
      </c>
      <c r="Y61" s="112">
        <v>0</v>
      </c>
      <c r="Z61" s="79">
        <v>0</v>
      </c>
      <c r="AA61" s="80">
        <v>0</v>
      </c>
      <c r="AB61" s="112">
        <v>0</v>
      </c>
      <c r="AC61" s="112">
        <v>0</v>
      </c>
      <c r="AD61" s="81">
        <v>0</v>
      </c>
      <c r="AE61" s="81">
        <v>0</v>
      </c>
      <c r="AF61" s="79">
        <v>0</v>
      </c>
      <c r="AG61" s="114">
        <v>0</v>
      </c>
      <c r="AH61" s="82">
        <v>0</v>
      </c>
      <c r="AI61" s="82">
        <v>0</v>
      </c>
      <c r="AJ61" s="112">
        <v>0</v>
      </c>
      <c r="AK61" s="112">
        <v>0</v>
      </c>
      <c r="AL61" s="79">
        <v>24000</v>
      </c>
      <c r="AM61" s="79">
        <v>0</v>
      </c>
      <c r="AN61" s="112">
        <v>1200</v>
      </c>
      <c r="AO61" s="116">
        <v>0</v>
      </c>
      <c r="AP61" s="101">
        <v>75000</v>
      </c>
      <c r="AQ61" s="79">
        <v>0</v>
      </c>
      <c r="AR61" s="112">
        <v>0</v>
      </c>
      <c r="AS61" s="112">
        <v>0</v>
      </c>
      <c r="AT61" s="79">
        <v>0</v>
      </c>
      <c r="AU61" s="79">
        <v>0</v>
      </c>
      <c r="AV61" s="112">
        <v>0</v>
      </c>
      <c r="AW61" s="112">
        <v>0</v>
      </c>
      <c r="AX61" s="75">
        <f t="shared" si="15"/>
        <v>823514</v>
      </c>
      <c r="AY61" s="75"/>
      <c r="AZ61" s="75">
        <f>9831850+248293+200000+100000</f>
        <v>10380143</v>
      </c>
      <c r="BA61" s="75"/>
      <c r="BB61" s="118">
        <f t="shared" si="11"/>
        <v>11203657</v>
      </c>
      <c r="BD61" s="124">
        <f t="shared" si="12"/>
        <v>823514</v>
      </c>
      <c r="BE61" s="124">
        <f t="shared" si="13"/>
        <v>0</v>
      </c>
      <c r="BL61" s="75"/>
      <c r="BM61" s="75">
        <v>652396</v>
      </c>
      <c r="BN61" s="75">
        <f t="shared" si="14"/>
        <v>664008.64880000008</v>
      </c>
      <c r="BO61" s="143">
        <v>1.78E-2</v>
      </c>
      <c r="BQ61" s="26"/>
    </row>
    <row r="62" spans="1:71" x14ac:dyDescent="0.25">
      <c r="A62" s="142">
        <v>50910</v>
      </c>
      <c r="B62" s="35" t="s">
        <v>91</v>
      </c>
      <c r="C62" s="75">
        <v>42840</v>
      </c>
      <c r="D62" s="75">
        <v>0</v>
      </c>
      <c r="E62" s="75">
        <v>0</v>
      </c>
      <c r="F62" s="75">
        <v>5908</v>
      </c>
      <c r="G62" s="75">
        <v>2660</v>
      </c>
      <c r="H62" s="75">
        <v>3915</v>
      </c>
      <c r="I62" s="75">
        <v>0</v>
      </c>
      <c r="J62" s="75">
        <v>925</v>
      </c>
      <c r="K62" s="75">
        <v>0</v>
      </c>
      <c r="L62" s="75">
        <f t="shared" si="9"/>
        <v>56248</v>
      </c>
      <c r="M62" s="75"/>
      <c r="N62" s="79">
        <v>0</v>
      </c>
      <c r="O62" s="79">
        <v>0</v>
      </c>
      <c r="P62" s="75">
        <v>0</v>
      </c>
      <c r="Q62" s="75">
        <v>0</v>
      </c>
      <c r="R62" s="79">
        <v>0</v>
      </c>
      <c r="S62" s="79">
        <v>0</v>
      </c>
      <c r="T62" s="75">
        <v>0</v>
      </c>
      <c r="U62" s="75">
        <v>0</v>
      </c>
      <c r="V62" s="79">
        <v>0</v>
      </c>
      <c r="W62" s="79">
        <v>0</v>
      </c>
      <c r="X62" s="112">
        <v>0</v>
      </c>
      <c r="Y62" s="112">
        <v>0</v>
      </c>
      <c r="Z62" s="79">
        <v>500</v>
      </c>
      <c r="AA62" s="80">
        <v>0</v>
      </c>
      <c r="AB62" s="112">
        <v>0</v>
      </c>
      <c r="AC62" s="112">
        <v>0</v>
      </c>
      <c r="AD62" s="81">
        <v>0</v>
      </c>
      <c r="AE62" s="81">
        <v>0</v>
      </c>
      <c r="AF62" s="79">
        <v>0</v>
      </c>
      <c r="AG62" s="114">
        <v>0</v>
      </c>
      <c r="AH62" s="82">
        <v>0</v>
      </c>
      <c r="AI62" s="82">
        <v>0</v>
      </c>
      <c r="AJ62" s="112">
        <v>0</v>
      </c>
      <c r="AK62" s="112">
        <v>0</v>
      </c>
      <c r="AL62" s="79">
        <v>0</v>
      </c>
      <c r="AM62" s="79">
        <v>0</v>
      </c>
      <c r="AN62" s="112">
        <v>0</v>
      </c>
      <c r="AO62" s="116">
        <v>0</v>
      </c>
      <c r="AP62" s="79">
        <v>0</v>
      </c>
      <c r="AQ62" s="79">
        <v>0</v>
      </c>
      <c r="AR62" s="112">
        <v>0</v>
      </c>
      <c r="AS62" s="112">
        <v>400</v>
      </c>
      <c r="AT62" s="79">
        <v>0</v>
      </c>
      <c r="AU62" s="79">
        <v>0</v>
      </c>
      <c r="AV62" s="112">
        <v>0</v>
      </c>
      <c r="AW62" s="112">
        <v>0</v>
      </c>
      <c r="AX62" s="75">
        <f t="shared" si="15"/>
        <v>900</v>
      </c>
      <c r="AY62" s="75"/>
      <c r="AZ62" s="75">
        <v>600</v>
      </c>
      <c r="BA62" s="75"/>
      <c r="BB62" s="118">
        <f t="shared" si="11"/>
        <v>57748</v>
      </c>
      <c r="BD62" s="124">
        <f t="shared" si="12"/>
        <v>500</v>
      </c>
      <c r="BE62" s="124">
        <f t="shared" si="13"/>
        <v>400</v>
      </c>
      <c r="BL62" s="75"/>
      <c r="BM62" s="75">
        <v>900</v>
      </c>
      <c r="BN62" s="75">
        <f t="shared" si="14"/>
        <v>916.02</v>
      </c>
      <c r="BO62" s="143">
        <v>1.78E-2</v>
      </c>
      <c r="BQ62" s="26"/>
    </row>
    <row r="63" spans="1:71" x14ac:dyDescent="0.25">
      <c r="A63" s="142">
        <v>50915</v>
      </c>
      <c r="B63" s="35" t="s">
        <v>92</v>
      </c>
      <c r="C63" s="75">
        <v>6900</v>
      </c>
      <c r="D63" s="75">
        <v>0</v>
      </c>
      <c r="E63" s="75">
        <v>4200</v>
      </c>
      <c r="F63" s="75">
        <v>6310</v>
      </c>
      <c r="G63" s="75">
        <v>5050</v>
      </c>
      <c r="H63" s="75">
        <v>7300</v>
      </c>
      <c r="I63" s="75">
        <v>0</v>
      </c>
      <c r="J63" s="75">
        <v>925</v>
      </c>
      <c r="K63" s="75">
        <v>1000</v>
      </c>
      <c r="L63" s="75">
        <f t="shared" si="9"/>
        <v>31685</v>
      </c>
      <c r="M63" s="75"/>
      <c r="N63" s="79">
        <v>0</v>
      </c>
      <c r="O63" s="79">
        <v>0</v>
      </c>
      <c r="P63" s="75">
        <v>0</v>
      </c>
      <c r="Q63" s="75">
        <v>0</v>
      </c>
      <c r="R63" s="79">
        <v>0</v>
      </c>
      <c r="S63" s="79">
        <v>0</v>
      </c>
      <c r="T63" s="75">
        <v>0</v>
      </c>
      <c r="U63" s="75">
        <v>0</v>
      </c>
      <c r="V63" s="79">
        <v>0</v>
      </c>
      <c r="W63" s="79">
        <v>0</v>
      </c>
      <c r="X63" s="112">
        <v>0</v>
      </c>
      <c r="Y63" s="112">
        <v>500</v>
      </c>
      <c r="Z63" s="79">
        <v>4800</v>
      </c>
      <c r="AA63" s="80">
        <v>0</v>
      </c>
      <c r="AB63" s="112">
        <v>0</v>
      </c>
      <c r="AC63" s="112">
        <v>0</v>
      </c>
      <c r="AD63" s="81">
        <v>0</v>
      </c>
      <c r="AE63" s="81">
        <v>0</v>
      </c>
      <c r="AF63" s="79">
        <v>0</v>
      </c>
      <c r="AG63" s="114">
        <v>0</v>
      </c>
      <c r="AH63" s="82">
        <v>0</v>
      </c>
      <c r="AI63" s="82">
        <v>0</v>
      </c>
      <c r="AJ63" s="112">
        <v>0</v>
      </c>
      <c r="AK63" s="112">
        <v>0</v>
      </c>
      <c r="AL63" s="79">
        <v>0</v>
      </c>
      <c r="AM63" s="79">
        <v>0</v>
      </c>
      <c r="AN63" s="112">
        <v>0</v>
      </c>
      <c r="AO63" s="116">
        <v>0</v>
      </c>
      <c r="AP63" s="79">
        <v>0</v>
      </c>
      <c r="AQ63" s="79">
        <v>0</v>
      </c>
      <c r="AR63" s="112">
        <v>0</v>
      </c>
      <c r="AS63" s="112">
        <v>0</v>
      </c>
      <c r="AT63" s="79">
        <v>0</v>
      </c>
      <c r="AU63" s="79">
        <v>0</v>
      </c>
      <c r="AV63" s="112">
        <v>0</v>
      </c>
      <c r="AW63" s="112">
        <v>0</v>
      </c>
      <c r="AX63" s="75">
        <f t="shared" si="15"/>
        <v>5300</v>
      </c>
      <c r="AY63" s="75"/>
      <c r="AZ63" s="75">
        <v>2500</v>
      </c>
      <c r="BA63" s="75"/>
      <c r="BB63" s="118">
        <f t="shared" si="11"/>
        <v>39485</v>
      </c>
      <c r="BD63" s="124">
        <f t="shared" si="12"/>
        <v>4800</v>
      </c>
      <c r="BE63" s="124">
        <f t="shared" si="13"/>
        <v>500</v>
      </c>
      <c r="BL63" s="75"/>
      <c r="BM63" s="75">
        <v>5300</v>
      </c>
      <c r="BN63" s="75">
        <f t="shared" si="14"/>
        <v>5394.34</v>
      </c>
      <c r="BO63" s="143">
        <v>1.78E-2</v>
      </c>
      <c r="BQ63" s="26"/>
    </row>
    <row r="64" spans="1:71" x14ac:dyDescent="0.25">
      <c r="A64" s="142">
        <v>50920</v>
      </c>
      <c r="B64" s="35" t="s">
        <v>93</v>
      </c>
      <c r="C64" s="75">
        <v>11700</v>
      </c>
      <c r="D64" s="75">
        <v>0</v>
      </c>
      <c r="E64" s="75">
        <v>16300</v>
      </c>
      <c r="F64" s="75">
        <v>7808</v>
      </c>
      <c r="G64" s="75">
        <v>17050</v>
      </c>
      <c r="H64" s="75">
        <v>3000</v>
      </c>
      <c r="I64" s="75">
        <v>0</v>
      </c>
      <c r="J64" s="75">
        <v>0</v>
      </c>
      <c r="K64" s="75">
        <v>1500</v>
      </c>
      <c r="L64" s="75">
        <f t="shared" si="9"/>
        <v>57358</v>
      </c>
      <c r="M64" s="75"/>
      <c r="N64" s="79">
        <v>0</v>
      </c>
      <c r="O64" s="79">
        <v>0</v>
      </c>
      <c r="P64" s="75">
        <v>0</v>
      </c>
      <c r="Q64" s="75">
        <v>0</v>
      </c>
      <c r="R64" s="79">
        <v>6000</v>
      </c>
      <c r="S64" s="79">
        <v>0</v>
      </c>
      <c r="T64" s="75">
        <f>1500+300</f>
        <v>1800</v>
      </c>
      <c r="U64" s="75">
        <v>0</v>
      </c>
      <c r="V64" s="79">
        <v>0</v>
      </c>
      <c r="W64" s="79">
        <v>0</v>
      </c>
      <c r="X64" s="112">
        <v>0</v>
      </c>
      <c r="Y64" s="112">
        <v>1200</v>
      </c>
      <c r="Z64" s="79">
        <v>4800</v>
      </c>
      <c r="AA64" s="80">
        <v>0</v>
      </c>
      <c r="AB64" s="112">
        <v>0</v>
      </c>
      <c r="AC64" s="112">
        <v>0</v>
      </c>
      <c r="AD64" s="81">
        <v>0</v>
      </c>
      <c r="AE64" s="81">
        <v>0</v>
      </c>
      <c r="AF64" s="79">
        <v>0</v>
      </c>
      <c r="AG64" s="114">
        <v>0</v>
      </c>
      <c r="AH64" s="82">
        <v>0</v>
      </c>
      <c r="AI64" s="82">
        <v>0</v>
      </c>
      <c r="AJ64" s="112">
        <v>0</v>
      </c>
      <c r="AK64" s="112">
        <v>0</v>
      </c>
      <c r="AL64" s="79">
        <v>0</v>
      </c>
      <c r="AM64" s="79">
        <v>0</v>
      </c>
      <c r="AN64" s="112">
        <v>0</v>
      </c>
      <c r="AO64" s="116">
        <v>0</v>
      </c>
      <c r="AP64" s="79">
        <v>0</v>
      </c>
      <c r="AQ64" s="79">
        <v>0</v>
      </c>
      <c r="AR64" s="112">
        <v>0</v>
      </c>
      <c r="AS64" s="112">
        <v>0</v>
      </c>
      <c r="AT64" s="79">
        <v>0</v>
      </c>
      <c r="AU64" s="79">
        <v>1200</v>
      </c>
      <c r="AV64" s="112">
        <v>60</v>
      </c>
      <c r="AW64" s="112">
        <v>3000</v>
      </c>
      <c r="AX64" s="75">
        <f t="shared" si="15"/>
        <v>18060</v>
      </c>
      <c r="AY64" s="75"/>
      <c r="AZ64" s="75">
        <v>3600</v>
      </c>
      <c r="BA64" s="75"/>
      <c r="BB64" s="118">
        <f t="shared" si="11"/>
        <v>79018</v>
      </c>
      <c r="BD64" s="124">
        <f t="shared" si="12"/>
        <v>12660</v>
      </c>
      <c r="BE64" s="124">
        <f t="shared" si="13"/>
        <v>5400</v>
      </c>
      <c r="BL64" s="75"/>
      <c r="BM64" s="75">
        <v>17760</v>
      </c>
      <c r="BN64" s="75">
        <f t="shared" si="14"/>
        <v>18076.128000000001</v>
      </c>
      <c r="BO64" s="143">
        <v>1.78E-2</v>
      </c>
      <c r="BQ64" s="141"/>
      <c r="BR64" s="71"/>
      <c r="BS64" s="71"/>
    </row>
    <row r="65" spans="1:72" x14ac:dyDescent="0.25">
      <c r="A65" s="142">
        <v>50925</v>
      </c>
      <c r="B65" s="35" t="s">
        <v>94</v>
      </c>
      <c r="C65" s="75">
        <v>500</v>
      </c>
      <c r="D65" s="75">
        <v>0</v>
      </c>
      <c r="E65" s="75">
        <v>1000</v>
      </c>
      <c r="F65" s="75">
        <v>1200</v>
      </c>
      <c r="G65" s="75">
        <v>1200</v>
      </c>
      <c r="H65" s="75">
        <v>1000</v>
      </c>
      <c r="I65" s="75">
        <v>0</v>
      </c>
      <c r="J65" s="75">
        <v>1200</v>
      </c>
      <c r="K65" s="75">
        <v>2400</v>
      </c>
      <c r="L65" s="75">
        <f t="shared" si="9"/>
        <v>8500</v>
      </c>
      <c r="M65" s="75"/>
      <c r="N65" s="79">
        <v>0</v>
      </c>
      <c r="O65" s="79">
        <v>0</v>
      </c>
      <c r="P65" s="75">
        <v>0</v>
      </c>
      <c r="Q65" s="75">
        <v>0</v>
      </c>
      <c r="R65" s="79">
        <v>0</v>
      </c>
      <c r="S65" s="79">
        <v>0</v>
      </c>
      <c r="T65" s="75">
        <v>0</v>
      </c>
      <c r="U65" s="75">
        <v>0</v>
      </c>
      <c r="V65" s="79">
        <v>0</v>
      </c>
      <c r="W65" s="79">
        <v>0</v>
      </c>
      <c r="X65" s="112">
        <v>0</v>
      </c>
      <c r="Y65" s="112">
        <v>0</v>
      </c>
      <c r="Z65" s="79">
        <v>600</v>
      </c>
      <c r="AA65" s="80">
        <v>0</v>
      </c>
      <c r="AB65" s="112">
        <v>0</v>
      </c>
      <c r="AC65" s="112">
        <v>0</v>
      </c>
      <c r="AD65" s="81">
        <v>0</v>
      </c>
      <c r="AE65" s="81">
        <v>0</v>
      </c>
      <c r="AF65" s="79">
        <v>0</v>
      </c>
      <c r="AG65" s="114">
        <v>0</v>
      </c>
      <c r="AH65" s="82">
        <v>0</v>
      </c>
      <c r="AI65" s="82">
        <v>0</v>
      </c>
      <c r="AJ65" s="112">
        <v>0</v>
      </c>
      <c r="AK65" s="112">
        <v>0</v>
      </c>
      <c r="AL65" s="79">
        <v>0</v>
      </c>
      <c r="AM65" s="79">
        <v>0</v>
      </c>
      <c r="AN65" s="112">
        <v>0</v>
      </c>
      <c r="AO65" s="116">
        <v>0</v>
      </c>
      <c r="AP65" s="79">
        <v>0</v>
      </c>
      <c r="AQ65" s="79">
        <v>0</v>
      </c>
      <c r="AR65" s="112">
        <v>0</v>
      </c>
      <c r="AS65" s="112">
        <v>0</v>
      </c>
      <c r="AT65" s="79">
        <v>0</v>
      </c>
      <c r="AU65" s="79">
        <v>0</v>
      </c>
      <c r="AV65" s="112">
        <v>0</v>
      </c>
      <c r="AW65" s="112">
        <v>0</v>
      </c>
      <c r="AX65" s="75">
        <f t="shared" si="15"/>
        <v>600</v>
      </c>
      <c r="AY65" s="75"/>
      <c r="AZ65" s="75">
        <v>1000</v>
      </c>
      <c r="BA65" s="75"/>
      <c r="BB65" s="118">
        <f t="shared" si="11"/>
        <v>10100</v>
      </c>
      <c r="BD65" s="124">
        <f t="shared" si="12"/>
        <v>600</v>
      </c>
      <c r="BE65" s="124">
        <f t="shared" si="13"/>
        <v>0</v>
      </c>
      <c r="BL65" s="75"/>
      <c r="BM65" s="75">
        <v>600</v>
      </c>
      <c r="BN65" s="75">
        <f t="shared" si="14"/>
        <v>610.68000000000006</v>
      </c>
      <c r="BO65" s="143">
        <v>1.78E-2</v>
      </c>
      <c r="BQ65" s="141"/>
      <c r="BR65" s="74"/>
      <c r="BS65" s="71"/>
    </row>
    <row r="66" spans="1:72" x14ac:dyDescent="0.25">
      <c r="A66" s="142">
        <v>50930</v>
      </c>
      <c r="B66" s="35" t="s">
        <v>95</v>
      </c>
      <c r="C66" s="75">
        <v>3600</v>
      </c>
      <c r="D66" s="75">
        <v>1750</v>
      </c>
      <c r="E66" s="75">
        <v>9600</v>
      </c>
      <c r="F66" s="75">
        <v>3600</v>
      </c>
      <c r="G66" s="75">
        <v>1000</v>
      </c>
      <c r="H66" s="75">
        <v>1750</v>
      </c>
      <c r="I66" s="75">
        <v>0</v>
      </c>
      <c r="J66" s="75">
        <v>400</v>
      </c>
      <c r="K66" s="75">
        <v>300</v>
      </c>
      <c r="L66" s="75">
        <f t="shared" si="9"/>
        <v>22000</v>
      </c>
      <c r="M66" s="75"/>
      <c r="N66" s="79">
        <v>0</v>
      </c>
      <c r="O66" s="79">
        <v>0</v>
      </c>
      <c r="P66" s="75">
        <v>0</v>
      </c>
      <c r="Q66" s="75">
        <v>0</v>
      </c>
      <c r="R66" s="79">
        <v>0</v>
      </c>
      <c r="S66" s="79">
        <v>0</v>
      </c>
      <c r="T66" s="75">
        <v>0</v>
      </c>
      <c r="U66" s="75">
        <v>0</v>
      </c>
      <c r="V66" s="79">
        <v>0</v>
      </c>
      <c r="W66" s="79">
        <v>0</v>
      </c>
      <c r="X66" s="112">
        <v>0</v>
      </c>
      <c r="Y66" s="112">
        <f>7200+1735</f>
        <v>8935</v>
      </c>
      <c r="Z66" s="79">
        <v>300</v>
      </c>
      <c r="AA66" s="80">
        <v>0</v>
      </c>
      <c r="AB66" s="112">
        <v>0</v>
      </c>
      <c r="AC66" s="112">
        <v>0</v>
      </c>
      <c r="AD66" s="81">
        <v>0</v>
      </c>
      <c r="AE66" s="81">
        <v>0</v>
      </c>
      <c r="AF66" s="79">
        <v>0</v>
      </c>
      <c r="AG66" s="114">
        <v>0</v>
      </c>
      <c r="AH66" s="82">
        <v>0</v>
      </c>
      <c r="AI66" s="82">
        <v>0</v>
      </c>
      <c r="AJ66" s="112">
        <v>0</v>
      </c>
      <c r="AK66" s="112">
        <v>0</v>
      </c>
      <c r="AL66" s="79">
        <v>0</v>
      </c>
      <c r="AM66" s="79">
        <v>0</v>
      </c>
      <c r="AN66" s="112">
        <v>0</v>
      </c>
      <c r="AO66" s="116">
        <v>0</v>
      </c>
      <c r="AP66" s="79">
        <v>0</v>
      </c>
      <c r="AQ66" s="79">
        <v>0</v>
      </c>
      <c r="AR66" s="112">
        <v>0</v>
      </c>
      <c r="AS66" s="112">
        <v>300</v>
      </c>
      <c r="AT66" s="79">
        <v>0</v>
      </c>
      <c r="AU66" s="79">
        <v>0</v>
      </c>
      <c r="AV66" s="112">
        <v>0</v>
      </c>
      <c r="AW66" s="112">
        <v>0</v>
      </c>
      <c r="AX66" s="75">
        <f t="shared" si="15"/>
        <v>9535</v>
      </c>
      <c r="AY66" s="75"/>
      <c r="AZ66" s="75">
        <v>400</v>
      </c>
      <c r="BA66" s="75"/>
      <c r="BB66" s="118">
        <f t="shared" si="11"/>
        <v>31935</v>
      </c>
      <c r="BD66" s="124">
        <f t="shared" si="12"/>
        <v>300</v>
      </c>
      <c r="BE66" s="124">
        <f t="shared" si="13"/>
        <v>9235</v>
      </c>
      <c r="BL66" s="75"/>
      <c r="BM66" s="75">
        <v>9535</v>
      </c>
      <c r="BN66" s="75">
        <f t="shared" si="14"/>
        <v>9704.723</v>
      </c>
      <c r="BO66" s="143">
        <v>1.78E-2</v>
      </c>
      <c r="BQ66" s="141"/>
      <c r="BR66" s="71"/>
      <c r="BS66" s="71"/>
    </row>
    <row r="67" spans="1:72" x14ac:dyDescent="0.25">
      <c r="A67" s="142">
        <v>50935</v>
      </c>
      <c r="B67" s="35" t="s">
        <v>96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f t="shared" si="9"/>
        <v>0</v>
      </c>
      <c r="M67" s="75"/>
      <c r="N67" s="79">
        <v>0</v>
      </c>
      <c r="O67" s="79">
        <v>0</v>
      </c>
      <c r="P67" s="75">
        <v>0</v>
      </c>
      <c r="Q67" s="75">
        <v>0</v>
      </c>
      <c r="R67" s="79">
        <v>0</v>
      </c>
      <c r="S67" s="79">
        <v>0</v>
      </c>
      <c r="T67" s="75">
        <v>0</v>
      </c>
      <c r="U67" s="75">
        <v>0</v>
      </c>
      <c r="V67" s="79">
        <v>0</v>
      </c>
      <c r="W67" s="79"/>
      <c r="X67" s="112">
        <v>0</v>
      </c>
      <c r="Y67" s="112">
        <v>0</v>
      </c>
      <c r="Z67" s="79">
        <v>0</v>
      </c>
      <c r="AA67" s="80">
        <v>0</v>
      </c>
      <c r="AB67" s="112">
        <v>0</v>
      </c>
      <c r="AC67" s="112">
        <v>0</v>
      </c>
      <c r="AD67" s="81">
        <v>0</v>
      </c>
      <c r="AE67" s="81">
        <v>0</v>
      </c>
      <c r="AF67" s="79">
        <v>0</v>
      </c>
      <c r="AG67" s="114">
        <v>0</v>
      </c>
      <c r="AH67" s="82">
        <v>0</v>
      </c>
      <c r="AI67" s="82">
        <v>0</v>
      </c>
      <c r="AJ67" s="112">
        <v>0</v>
      </c>
      <c r="AK67" s="112">
        <v>0</v>
      </c>
      <c r="AL67" s="79">
        <v>0</v>
      </c>
      <c r="AM67" s="79">
        <v>0</v>
      </c>
      <c r="AN67" s="112">
        <v>0</v>
      </c>
      <c r="AO67" s="116">
        <v>0</v>
      </c>
      <c r="AP67" s="79">
        <v>0</v>
      </c>
      <c r="AQ67" s="79">
        <v>0</v>
      </c>
      <c r="AR67" s="112">
        <v>0</v>
      </c>
      <c r="AS67" s="112">
        <v>0</v>
      </c>
      <c r="AT67" s="79">
        <v>0</v>
      </c>
      <c r="AU67" s="79">
        <v>0</v>
      </c>
      <c r="AV67" s="112">
        <v>0</v>
      </c>
      <c r="AW67" s="112">
        <v>0</v>
      </c>
      <c r="AX67" s="75">
        <f t="shared" si="15"/>
        <v>0</v>
      </c>
      <c r="AY67" s="75"/>
      <c r="AZ67" s="75">
        <v>0</v>
      </c>
      <c r="BA67" s="75"/>
      <c r="BB67" s="118">
        <f t="shared" si="11"/>
        <v>0</v>
      </c>
      <c r="BD67" s="124">
        <f t="shared" si="12"/>
        <v>0</v>
      </c>
      <c r="BE67" s="124">
        <f t="shared" si="13"/>
        <v>0</v>
      </c>
      <c r="BL67" s="75"/>
      <c r="BM67" s="75">
        <v>0</v>
      </c>
      <c r="BN67" s="75">
        <f t="shared" si="14"/>
        <v>0</v>
      </c>
      <c r="BO67" s="143">
        <v>1.78E-2</v>
      </c>
      <c r="BQ67" s="26"/>
    </row>
    <row r="68" spans="1:72" x14ac:dyDescent="0.25">
      <c r="A68" s="142">
        <v>50940</v>
      </c>
      <c r="B68" s="35" t="s">
        <v>179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8500</v>
      </c>
      <c r="K68" s="75">
        <v>0</v>
      </c>
      <c r="L68" s="75">
        <f t="shared" si="9"/>
        <v>8500</v>
      </c>
      <c r="M68" s="75"/>
      <c r="N68" s="79">
        <v>0</v>
      </c>
      <c r="O68" s="79">
        <v>0</v>
      </c>
      <c r="P68" s="75">
        <v>0</v>
      </c>
      <c r="Q68" s="75">
        <v>0</v>
      </c>
      <c r="R68" s="79">
        <v>0</v>
      </c>
      <c r="S68" s="79">
        <v>0</v>
      </c>
      <c r="T68" s="75">
        <v>0</v>
      </c>
      <c r="U68" s="75">
        <v>0</v>
      </c>
      <c r="V68" s="79">
        <v>0</v>
      </c>
      <c r="W68" s="79">
        <v>0</v>
      </c>
      <c r="X68" s="112">
        <v>0</v>
      </c>
      <c r="Y68" s="112">
        <v>2400</v>
      </c>
      <c r="Z68" s="79">
        <v>0</v>
      </c>
      <c r="AA68" s="80">
        <v>0</v>
      </c>
      <c r="AB68" s="112">
        <v>0</v>
      </c>
      <c r="AC68" s="112">
        <v>0</v>
      </c>
      <c r="AD68" s="81">
        <v>0</v>
      </c>
      <c r="AE68" s="81">
        <v>0</v>
      </c>
      <c r="AF68" s="79">
        <v>0</v>
      </c>
      <c r="AG68" s="114">
        <v>0</v>
      </c>
      <c r="AH68" s="82">
        <v>0</v>
      </c>
      <c r="AI68" s="82">
        <v>0</v>
      </c>
      <c r="AJ68" s="112">
        <v>0</v>
      </c>
      <c r="AK68" s="112">
        <v>0</v>
      </c>
      <c r="AL68" s="79">
        <v>0</v>
      </c>
      <c r="AM68" s="79">
        <v>0</v>
      </c>
      <c r="AN68" s="112">
        <v>0</v>
      </c>
      <c r="AO68" s="116">
        <v>0</v>
      </c>
      <c r="AP68" s="79">
        <v>0</v>
      </c>
      <c r="AQ68" s="79">
        <v>0</v>
      </c>
      <c r="AR68" s="112">
        <v>0</v>
      </c>
      <c r="AS68" s="112">
        <v>0</v>
      </c>
      <c r="AT68" s="79">
        <v>0</v>
      </c>
      <c r="AU68" s="79">
        <v>0</v>
      </c>
      <c r="AV68" s="112">
        <v>0</v>
      </c>
      <c r="AW68" s="112">
        <v>0</v>
      </c>
      <c r="AX68" s="75">
        <f t="shared" si="15"/>
        <v>2400</v>
      </c>
      <c r="AY68" s="75"/>
      <c r="AZ68" s="75">
        <v>0</v>
      </c>
      <c r="BA68" s="75"/>
      <c r="BB68" s="118">
        <f t="shared" si="11"/>
        <v>10900</v>
      </c>
      <c r="BD68" s="124">
        <f t="shared" si="12"/>
        <v>0</v>
      </c>
      <c r="BE68" s="124">
        <f t="shared" si="13"/>
        <v>2400</v>
      </c>
      <c r="BL68" s="75"/>
      <c r="BM68" s="75">
        <v>2400</v>
      </c>
      <c r="BN68" s="75">
        <f t="shared" si="14"/>
        <v>2442.7200000000003</v>
      </c>
      <c r="BO68" s="143">
        <v>1.78E-2</v>
      </c>
      <c r="BQ68" s="26"/>
    </row>
    <row r="69" spans="1:72" x14ac:dyDescent="0.25">
      <c r="A69" s="142">
        <v>50945</v>
      </c>
      <c r="B69" s="35" t="s">
        <v>97</v>
      </c>
      <c r="C69" s="75">
        <v>0</v>
      </c>
      <c r="D69" s="75">
        <v>0</v>
      </c>
      <c r="E69" s="75">
        <v>0</v>
      </c>
      <c r="F69" s="75">
        <v>5863</v>
      </c>
      <c r="G69" s="75">
        <v>1000</v>
      </c>
      <c r="H69" s="75">
        <v>0</v>
      </c>
      <c r="I69" s="75">
        <v>0</v>
      </c>
      <c r="J69" s="75">
        <v>17850</v>
      </c>
      <c r="K69" s="75">
        <v>3000</v>
      </c>
      <c r="L69" s="75">
        <f t="shared" si="9"/>
        <v>27713</v>
      </c>
      <c r="M69" s="75"/>
      <c r="N69" s="79">
        <v>0</v>
      </c>
      <c r="O69" s="79">
        <v>0</v>
      </c>
      <c r="P69" s="75">
        <v>0</v>
      </c>
      <c r="Q69" s="75">
        <v>0</v>
      </c>
      <c r="R69" s="79">
        <v>0</v>
      </c>
      <c r="S69" s="79">
        <v>0</v>
      </c>
      <c r="T69" s="75">
        <v>0</v>
      </c>
      <c r="U69" s="75">
        <v>0</v>
      </c>
      <c r="V69" s="79">
        <v>0</v>
      </c>
      <c r="W69" s="79">
        <v>0</v>
      </c>
      <c r="X69" s="112">
        <v>0</v>
      </c>
      <c r="Y69" s="112">
        <v>6000</v>
      </c>
      <c r="Z69" s="79">
        <v>1440</v>
      </c>
      <c r="AA69" s="80">
        <v>0</v>
      </c>
      <c r="AB69" s="112">
        <v>0</v>
      </c>
      <c r="AC69" s="112">
        <v>0</v>
      </c>
      <c r="AD69" s="81">
        <v>0</v>
      </c>
      <c r="AE69" s="81">
        <v>0</v>
      </c>
      <c r="AF69" s="79">
        <v>0</v>
      </c>
      <c r="AG69" s="114">
        <v>0</v>
      </c>
      <c r="AH69" s="82">
        <v>0</v>
      </c>
      <c r="AI69" s="82">
        <v>0</v>
      </c>
      <c r="AJ69" s="112">
        <v>0</v>
      </c>
      <c r="AK69" s="112">
        <v>0</v>
      </c>
      <c r="AL69" s="79">
        <v>0</v>
      </c>
      <c r="AM69" s="79">
        <v>0</v>
      </c>
      <c r="AN69" s="112">
        <v>0</v>
      </c>
      <c r="AO69" s="116">
        <v>0</v>
      </c>
      <c r="AP69" s="79">
        <v>0</v>
      </c>
      <c r="AQ69" s="79">
        <v>0</v>
      </c>
      <c r="AR69" s="112">
        <v>0</v>
      </c>
      <c r="AS69" s="112">
        <v>3500</v>
      </c>
      <c r="AT69" s="79">
        <v>0</v>
      </c>
      <c r="AU69" s="79">
        <v>15000</v>
      </c>
      <c r="AV69" s="112">
        <v>0</v>
      </c>
      <c r="AW69" s="112">
        <v>12000</v>
      </c>
      <c r="AX69" s="75">
        <f t="shared" si="15"/>
        <v>37940</v>
      </c>
      <c r="AY69" s="75"/>
      <c r="AZ69" s="75">
        <v>1200</v>
      </c>
      <c r="BA69" s="75"/>
      <c r="BB69" s="118">
        <f t="shared" si="11"/>
        <v>66853</v>
      </c>
      <c r="BD69" s="124">
        <f t="shared" si="12"/>
        <v>1440</v>
      </c>
      <c r="BE69" s="124">
        <f t="shared" si="13"/>
        <v>36500</v>
      </c>
      <c r="BL69" s="75"/>
      <c r="BM69" s="75">
        <v>37940</v>
      </c>
      <c r="BN69" s="75">
        <f t="shared" si="14"/>
        <v>38615.332000000002</v>
      </c>
      <c r="BO69" s="143">
        <v>1.78E-2</v>
      </c>
      <c r="BQ69" s="7"/>
      <c r="BR69" s="13"/>
    </row>
    <row r="70" spans="1:72" x14ac:dyDescent="0.25">
      <c r="A70" s="142">
        <v>51010</v>
      </c>
      <c r="B70" s="35" t="s">
        <v>98</v>
      </c>
      <c r="C70" s="75">
        <v>0</v>
      </c>
      <c r="D70" s="75">
        <v>127800</v>
      </c>
      <c r="E70" s="75">
        <v>0</v>
      </c>
      <c r="F70" s="75">
        <v>0</v>
      </c>
      <c r="G70" s="75">
        <v>0</v>
      </c>
      <c r="H70" s="75">
        <v>3600</v>
      </c>
      <c r="I70" s="75">
        <v>0</v>
      </c>
      <c r="J70" s="75">
        <v>0</v>
      </c>
      <c r="K70" s="75">
        <v>0</v>
      </c>
      <c r="L70" s="75">
        <f t="shared" si="9"/>
        <v>131400</v>
      </c>
      <c r="M70" s="75"/>
      <c r="N70" s="79">
        <v>0</v>
      </c>
      <c r="O70" s="79">
        <v>0</v>
      </c>
      <c r="P70" s="75">
        <v>0</v>
      </c>
      <c r="Q70" s="75">
        <v>0</v>
      </c>
      <c r="R70" s="79">
        <v>0</v>
      </c>
      <c r="S70" s="79">
        <v>0</v>
      </c>
      <c r="T70" s="75">
        <v>0</v>
      </c>
      <c r="U70" s="75">
        <v>0</v>
      </c>
      <c r="V70" s="79">
        <v>0</v>
      </c>
      <c r="W70" s="79">
        <v>0</v>
      </c>
      <c r="X70" s="112">
        <v>2472</v>
      </c>
      <c r="Y70" s="112">
        <v>0</v>
      </c>
      <c r="Z70" s="79">
        <v>0</v>
      </c>
      <c r="AA70" s="80">
        <v>0</v>
      </c>
      <c r="AB70" s="112">
        <v>0</v>
      </c>
      <c r="AC70" s="112">
        <v>0</v>
      </c>
      <c r="AD70" s="81">
        <v>0</v>
      </c>
      <c r="AE70" s="81">
        <v>0</v>
      </c>
      <c r="AF70" s="79">
        <v>0</v>
      </c>
      <c r="AG70" s="114">
        <v>0</v>
      </c>
      <c r="AH70" s="82">
        <v>0</v>
      </c>
      <c r="AI70" s="82">
        <v>0</v>
      </c>
      <c r="AJ70" s="112">
        <v>0</v>
      </c>
      <c r="AK70" s="112">
        <v>0</v>
      </c>
      <c r="AL70" s="79">
        <v>0</v>
      </c>
      <c r="AM70" s="79">
        <v>0</v>
      </c>
      <c r="AN70" s="112">
        <v>0</v>
      </c>
      <c r="AO70" s="116">
        <v>0</v>
      </c>
      <c r="AP70" s="79">
        <v>100516</v>
      </c>
      <c r="AQ70" s="79">
        <v>0</v>
      </c>
      <c r="AR70" s="112">
        <v>1680</v>
      </c>
      <c r="AS70" s="112">
        <v>0</v>
      </c>
      <c r="AT70" s="79">
        <v>0</v>
      </c>
      <c r="AU70" s="79">
        <v>0</v>
      </c>
      <c r="AV70" s="112">
        <v>0</v>
      </c>
      <c r="AW70" s="112">
        <v>0</v>
      </c>
      <c r="AX70" s="75">
        <f t="shared" si="15"/>
        <v>104668</v>
      </c>
      <c r="AY70" s="75"/>
      <c r="AZ70" s="75">
        <v>2400</v>
      </c>
      <c r="BA70" s="75"/>
      <c r="BB70" s="118">
        <f t="shared" si="11"/>
        <v>238468</v>
      </c>
      <c r="BD70" s="124">
        <f t="shared" si="12"/>
        <v>104668</v>
      </c>
      <c r="BE70" s="124">
        <f t="shared" si="13"/>
        <v>0</v>
      </c>
      <c r="BL70" s="75"/>
      <c r="BM70" s="75">
        <v>104668</v>
      </c>
      <c r="BN70" s="75">
        <f t="shared" si="14"/>
        <v>106531.0904</v>
      </c>
      <c r="BO70" s="143">
        <v>1.78E-2</v>
      </c>
      <c r="BP70" s="142"/>
      <c r="BQ70" s="7"/>
    </row>
    <row r="71" spans="1:72" x14ac:dyDescent="0.25">
      <c r="A71" s="142">
        <v>51310</v>
      </c>
      <c r="B71" s="35" t="s">
        <v>99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f t="shared" si="9"/>
        <v>0</v>
      </c>
      <c r="M71" s="75"/>
      <c r="N71" s="79">
        <v>0</v>
      </c>
      <c r="O71" s="79">
        <v>0</v>
      </c>
      <c r="P71" s="75">
        <v>0</v>
      </c>
      <c r="Q71" s="75">
        <v>0</v>
      </c>
      <c r="R71" s="79">
        <v>0</v>
      </c>
      <c r="S71" s="79">
        <v>0</v>
      </c>
      <c r="T71" s="75">
        <v>0</v>
      </c>
      <c r="U71" s="75">
        <v>0</v>
      </c>
      <c r="V71" s="137">
        <v>0</v>
      </c>
      <c r="W71" s="79">
        <v>0</v>
      </c>
      <c r="X71" s="112">
        <v>275194</v>
      </c>
      <c r="Y71" s="112">
        <v>0</v>
      </c>
      <c r="Z71" s="137">
        <v>0</v>
      </c>
      <c r="AA71" s="80">
        <v>0</v>
      </c>
      <c r="AB71" s="112">
        <v>0</v>
      </c>
      <c r="AC71" s="112">
        <v>0</v>
      </c>
      <c r="AD71" s="81">
        <v>0</v>
      </c>
      <c r="AE71" s="81">
        <v>0</v>
      </c>
      <c r="AF71" s="137">
        <v>0</v>
      </c>
      <c r="AG71" s="139">
        <v>0</v>
      </c>
      <c r="AH71" s="82">
        <v>0</v>
      </c>
      <c r="AI71" s="82">
        <v>0</v>
      </c>
      <c r="AJ71" s="112">
        <v>0</v>
      </c>
      <c r="AK71" s="112">
        <v>0</v>
      </c>
      <c r="AL71" s="137">
        <v>0</v>
      </c>
      <c r="AM71" s="137">
        <v>0</v>
      </c>
      <c r="AN71" s="112">
        <v>0</v>
      </c>
      <c r="AO71" s="116">
        <v>0</v>
      </c>
      <c r="AP71" s="137">
        <v>0</v>
      </c>
      <c r="AQ71" s="137">
        <v>0</v>
      </c>
      <c r="AR71" s="112">
        <v>0</v>
      </c>
      <c r="AS71" s="112">
        <v>0</v>
      </c>
      <c r="AT71" s="137">
        <v>0</v>
      </c>
      <c r="AU71" s="137">
        <v>0</v>
      </c>
      <c r="AV71" s="112">
        <v>0</v>
      </c>
      <c r="AW71" s="112">
        <v>0</v>
      </c>
      <c r="AX71" s="75">
        <f t="shared" si="15"/>
        <v>275194</v>
      </c>
      <c r="AY71" s="75"/>
      <c r="AZ71" s="75">
        <v>430296</v>
      </c>
      <c r="BA71" s="75"/>
      <c r="BB71" s="118">
        <f t="shared" si="11"/>
        <v>705490</v>
      </c>
      <c r="BD71" s="124">
        <f t="shared" si="12"/>
        <v>275194</v>
      </c>
      <c r="BE71" s="124">
        <f t="shared" si="13"/>
        <v>0</v>
      </c>
      <c r="BL71" s="75"/>
      <c r="BM71" s="75">
        <v>275194</v>
      </c>
      <c r="BN71" s="75">
        <f t="shared" si="14"/>
        <v>280092.45319999999</v>
      </c>
      <c r="BO71" s="143">
        <v>1.78E-2</v>
      </c>
      <c r="BQ71" s="7"/>
    </row>
    <row r="72" spans="1:72" x14ac:dyDescent="0.25">
      <c r="A72" s="142">
        <v>51315</v>
      </c>
      <c r="B72" s="35" t="s">
        <v>100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f t="shared" si="9"/>
        <v>0</v>
      </c>
      <c r="M72" s="75"/>
      <c r="N72" s="79">
        <v>0</v>
      </c>
      <c r="O72" s="79">
        <v>0</v>
      </c>
      <c r="P72" s="75">
        <v>0</v>
      </c>
      <c r="Q72" s="75">
        <v>0</v>
      </c>
      <c r="R72" s="79">
        <v>0</v>
      </c>
      <c r="S72" s="79">
        <v>0</v>
      </c>
      <c r="T72" s="75">
        <v>0</v>
      </c>
      <c r="U72" s="75">
        <v>0</v>
      </c>
      <c r="V72" s="137">
        <v>0</v>
      </c>
      <c r="W72" s="79">
        <v>0</v>
      </c>
      <c r="X72" s="112">
        <v>82258</v>
      </c>
      <c r="Y72" s="112">
        <v>0</v>
      </c>
      <c r="Z72" s="137">
        <v>0</v>
      </c>
      <c r="AA72" s="80">
        <v>0</v>
      </c>
      <c r="AB72" s="112">
        <v>0</v>
      </c>
      <c r="AC72" s="112">
        <v>0</v>
      </c>
      <c r="AD72" s="81">
        <v>0</v>
      </c>
      <c r="AE72" s="81">
        <v>0</v>
      </c>
      <c r="AF72" s="137">
        <v>0</v>
      </c>
      <c r="AG72" s="139">
        <v>0</v>
      </c>
      <c r="AH72" s="82">
        <v>0</v>
      </c>
      <c r="AI72" s="82">
        <v>0</v>
      </c>
      <c r="AJ72" s="112">
        <v>0</v>
      </c>
      <c r="AK72" s="112">
        <v>0</v>
      </c>
      <c r="AL72" s="137">
        <v>0</v>
      </c>
      <c r="AM72" s="137">
        <v>0</v>
      </c>
      <c r="AN72" s="112">
        <v>0</v>
      </c>
      <c r="AO72" s="116">
        <v>0</v>
      </c>
      <c r="AP72" s="137">
        <v>0</v>
      </c>
      <c r="AQ72" s="137">
        <v>0</v>
      </c>
      <c r="AR72" s="112">
        <v>0</v>
      </c>
      <c r="AS72" s="112">
        <v>0</v>
      </c>
      <c r="AT72" s="137">
        <v>0</v>
      </c>
      <c r="AU72" s="137">
        <v>0</v>
      </c>
      <c r="AV72" s="112">
        <v>0</v>
      </c>
      <c r="AW72" s="112">
        <v>0</v>
      </c>
      <c r="AX72" s="75">
        <f t="shared" si="15"/>
        <v>82258</v>
      </c>
      <c r="AY72" s="75"/>
      <c r="AZ72" s="75">
        <v>396732</v>
      </c>
      <c r="BA72" s="75"/>
      <c r="BB72" s="118">
        <f t="shared" si="11"/>
        <v>478990</v>
      </c>
      <c r="BD72" s="124">
        <f t="shared" si="12"/>
        <v>82258</v>
      </c>
      <c r="BE72" s="124">
        <f t="shared" si="13"/>
        <v>0</v>
      </c>
      <c r="BL72" s="75"/>
      <c r="BM72" s="75">
        <v>82258</v>
      </c>
      <c r="BN72" s="75">
        <f t="shared" si="14"/>
        <v>83722.1924</v>
      </c>
      <c r="BO72" s="143">
        <v>1.78E-2</v>
      </c>
      <c r="BQ72" s="26"/>
    </row>
    <row r="73" spans="1:72" x14ac:dyDescent="0.25">
      <c r="A73" s="142">
        <v>51320</v>
      </c>
      <c r="B73" s="35" t="s">
        <v>101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f t="shared" si="9"/>
        <v>0</v>
      </c>
      <c r="M73" s="75"/>
      <c r="N73" s="79">
        <v>0</v>
      </c>
      <c r="O73" s="79">
        <v>0</v>
      </c>
      <c r="P73" s="75">
        <v>0</v>
      </c>
      <c r="Q73" s="75">
        <v>0</v>
      </c>
      <c r="R73" s="79">
        <v>0</v>
      </c>
      <c r="S73" s="79">
        <v>0</v>
      </c>
      <c r="T73" s="75">
        <v>0</v>
      </c>
      <c r="U73" s="75">
        <v>0</v>
      </c>
      <c r="V73" s="137">
        <v>0</v>
      </c>
      <c r="W73" s="79">
        <v>0</v>
      </c>
      <c r="X73" s="112">
        <v>0</v>
      </c>
      <c r="Y73" s="112">
        <v>0</v>
      </c>
      <c r="Z73" s="137">
        <v>0</v>
      </c>
      <c r="AA73" s="80">
        <v>0</v>
      </c>
      <c r="AB73" s="112">
        <v>0</v>
      </c>
      <c r="AC73" s="112">
        <v>0</v>
      </c>
      <c r="AD73" s="81">
        <v>0</v>
      </c>
      <c r="AE73" s="81">
        <v>0</v>
      </c>
      <c r="AF73" s="137">
        <v>0</v>
      </c>
      <c r="AG73" s="139">
        <v>0</v>
      </c>
      <c r="AH73" s="82">
        <v>0</v>
      </c>
      <c r="AI73" s="82">
        <v>0</v>
      </c>
      <c r="AJ73" s="112">
        <v>0</v>
      </c>
      <c r="AK73" s="112">
        <v>0</v>
      </c>
      <c r="AL73" s="137">
        <v>0</v>
      </c>
      <c r="AM73" s="137">
        <v>0</v>
      </c>
      <c r="AN73" s="112">
        <v>0</v>
      </c>
      <c r="AO73" s="116">
        <v>0</v>
      </c>
      <c r="AP73" s="137">
        <v>0</v>
      </c>
      <c r="AQ73" s="137">
        <v>0</v>
      </c>
      <c r="AR73" s="112">
        <v>0</v>
      </c>
      <c r="AS73" s="112">
        <v>0</v>
      </c>
      <c r="AT73" s="137">
        <v>0</v>
      </c>
      <c r="AU73" s="137">
        <v>0</v>
      </c>
      <c r="AV73" s="112">
        <v>0</v>
      </c>
      <c r="AW73" s="112">
        <v>0</v>
      </c>
      <c r="AX73" s="75">
        <f t="shared" si="15"/>
        <v>0</v>
      </c>
      <c r="AY73" s="75"/>
      <c r="AZ73" s="75">
        <v>0</v>
      </c>
      <c r="BA73" s="75"/>
      <c r="BB73" s="118">
        <f t="shared" si="11"/>
        <v>0</v>
      </c>
      <c r="BD73" s="124">
        <f t="shared" si="12"/>
        <v>0</v>
      </c>
      <c r="BE73" s="124">
        <f t="shared" si="13"/>
        <v>0</v>
      </c>
      <c r="BL73" s="75"/>
      <c r="BM73" s="75">
        <v>0</v>
      </c>
      <c r="BN73" s="75">
        <f t="shared" si="14"/>
        <v>0</v>
      </c>
      <c r="BO73" s="143">
        <v>1.78E-2</v>
      </c>
      <c r="BQ73" s="8"/>
    </row>
    <row r="74" spans="1:72" x14ac:dyDescent="0.25">
      <c r="A74" s="142">
        <v>51325</v>
      </c>
      <c r="B74" s="35" t="s">
        <v>102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f t="shared" si="9"/>
        <v>0</v>
      </c>
      <c r="M74" s="75"/>
      <c r="N74" s="79">
        <v>0</v>
      </c>
      <c r="O74" s="79">
        <v>0</v>
      </c>
      <c r="P74" s="75">
        <v>0</v>
      </c>
      <c r="Q74" s="75">
        <v>0</v>
      </c>
      <c r="R74" s="79">
        <v>0</v>
      </c>
      <c r="S74" s="79">
        <v>0</v>
      </c>
      <c r="T74" s="75">
        <v>0</v>
      </c>
      <c r="U74" s="75">
        <v>0</v>
      </c>
      <c r="V74" s="137">
        <v>0</v>
      </c>
      <c r="W74" s="79">
        <v>0</v>
      </c>
      <c r="X74" s="112">
        <v>153104</v>
      </c>
      <c r="Y74" s="112">
        <v>0</v>
      </c>
      <c r="Z74" s="137">
        <v>0</v>
      </c>
      <c r="AA74" s="80">
        <v>0</v>
      </c>
      <c r="AB74" s="112">
        <v>0</v>
      </c>
      <c r="AC74" s="112">
        <v>0</v>
      </c>
      <c r="AD74" s="81">
        <v>0</v>
      </c>
      <c r="AE74" s="81">
        <v>0</v>
      </c>
      <c r="AF74" s="137">
        <v>0</v>
      </c>
      <c r="AG74" s="139">
        <v>0</v>
      </c>
      <c r="AH74" s="82">
        <v>0</v>
      </c>
      <c r="AI74" s="82">
        <v>0</v>
      </c>
      <c r="AJ74" s="112">
        <v>0</v>
      </c>
      <c r="AK74" s="112">
        <v>0</v>
      </c>
      <c r="AL74" s="137">
        <v>0</v>
      </c>
      <c r="AM74" s="137">
        <v>0</v>
      </c>
      <c r="AN74" s="112">
        <v>0</v>
      </c>
      <c r="AO74" s="116">
        <v>0</v>
      </c>
      <c r="AP74" s="137">
        <v>0</v>
      </c>
      <c r="AQ74" s="137">
        <v>0</v>
      </c>
      <c r="AR74" s="112">
        <v>0</v>
      </c>
      <c r="AS74" s="112">
        <v>0</v>
      </c>
      <c r="AT74" s="137">
        <v>0</v>
      </c>
      <c r="AU74" s="137">
        <v>0</v>
      </c>
      <c r="AV74" s="112">
        <v>0</v>
      </c>
      <c r="AW74" s="112">
        <v>0</v>
      </c>
      <c r="AX74" s="75">
        <f t="shared" si="15"/>
        <v>153104</v>
      </c>
      <c r="AY74" s="75"/>
      <c r="AZ74" s="75">
        <v>140766</v>
      </c>
      <c r="BA74" s="75"/>
      <c r="BB74" s="118">
        <f t="shared" si="11"/>
        <v>293870</v>
      </c>
      <c r="BD74" s="124">
        <f t="shared" si="12"/>
        <v>153104</v>
      </c>
      <c r="BE74" s="124">
        <f t="shared" si="13"/>
        <v>0</v>
      </c>
      <c r="BL74" s="75"/>
      <c r="BM74" s="75">
        <v>153104</v>
      </c>
      <c r="BN74" s="75">
        <f t="shared" si="14"/>
        <v>155829.2512</v>
      </c>
      <c r="BO74" s="143">
        <v>1.78E-2</v>
      </c>
      <c r="BP74" s="158"/>
      <c r="BQ74" s="37"/>
      <c r="BT74" s="38"/>
    </row>
    <row r="75" spans="1:72" x14ac:dyDescent="0.25">
      <c r="A75" s="142">
        <v>51326</v>
      </c>
      <c r="B75" s="35" t="s">
        <v>103</v>
      </c>
      <c r="C75" s="75">
        <v>0</v>
      </c>
      <c r="D75" s="75">
        <v>70000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f t="shared" si="9"/>
        <v>70000</v>
      </c>
      <c r="M75" s="75"/>
      <c r="N75" s="79">
        <v>0</v>
      </c>
      <c r="O75" s="79">
        <v>0</v>
      </c>
      <c r="P75" s="75">
        <v>0</v>
      </c>
      <c r="Q75" s="75">
        <v>0</v>
      </c>
      <c r="R75" s="79">
        <v>0</v>
      </c>
      <c r="S75" s="79">
        <v>0</v>
      </c>
      <c r="T75" s="75">
        <v>0</v>
      </c>
      <c r="U75" s="75">
        <v>0</v>
      </c>
      <c r="V75" s="137">
        <v>0</v>
      </c>
      <c r="W75" s="79">
        <v>0</v>
      </c>
      <c r="X75" s="112">
        <v>33591</v>
      </c>
      <c r="Y75" s="112">
        <v>0</v>
      </c>
      <c r="Z75" s="137">
        <v>0</v>
      </c>
      <c r="AA75" s="80">
        <v>0</v>
      </c>
      <c r="AB75" s="112">
        <v>0</v>
      </c>
      <c r="AC75" s="112">
        <v>0</v>
      </c>
      <c r="AD75" s="81">
        <v>0</v>
      </c>
      <c r="AE75" s="81">
        <v>0</v>
      </c>
      <c r="AF75" s="137">
        <v>0</v>
      </c>
      <c r="AG75" s="139">
        <v>0</v>
      </c>
      <c r="AH75" s="82">
        <v>0</v>
      </c>
      <c r="AI75" s="82">
        <v>0</v>
      </c>
      <c r="AJ75" s="112">
        <v>0</v>
      </c>
      <c r="AK75" s="112">
        <v>0</v>
      </c>
      <c r="AL75" s="137">
        <v>0</v>
      </c>
      <c r="AM75" s="137">
        <v>0</v>
      </c>
      <c r="AN75" s="112">
        <v>0</v>
      </c>
      <c r="AO75" s="116">
        <v>0</v>
      </c>
      <c r="AP75" s="137">
        <v>0</v>
      </c>
      <c r="AQ75" s="137">
        <v>0</v>
      </c>
      <c r="AR75" s="112">
        <v>0</v>
      </c>
      <c r="AS75" s="112">
        <v>0</v>
      </c>
      <c r="AT75" s="137">
        <v>0</v>
      </c>
      <c r="AU75" s="137">
        <v>0</v>
      </c>
      <c r="AV75" s="112">
        <v>0</v>
      </c>
      <c r="AW75" s="112">
        <v>0</v>
      </c>
      <c r="AX75" s="75">
        <f t="shared" si="15"/>
        <v>33591</v>
      </c>
      <c r="AY75" s="75"/>
      <c r="AZ75" s="75">
        <v>46000</v>
      </c>
      <c r="BA75" s="75"/>
      <c r="BB75" s="118">
        <f t="shared" si="11"/>
        <v>149591</v>
      </c>
      <c r="BD75" s="124">
        <f t="shared" si="12"/>
        <v>33591</v>
      </c>
      <c r="BE75" s="124">
        <f t="shared" si="13"/>
        <v>0</v>
      </c>
      <c r="BL75" s="75"/>
      <c r="BM75" s="75">
        <v>33591</v>
      </c>
      <c r="BN75" s="75">
        <f t="shared" si="14"/>
        <v>34188.919800000003</v>
      </c>
      <c r="BO75" s="143">
        <v>1.78E-2</v>
      </c>
      <c r="BQ75" s="8"/>
      <c r="BT75" s="38"/>
    </row>
    <row r="76" spans="1:72" x14ac:dyDescent="0.25">
      <c r="A76" s="142">
        <v>51330</v>
      </c>
      <c r="B76" s="35" t="s">
        <v>104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f t="shared" si="9"/>
        <v>0</v>
      </c>
      <c r="M76" s="75"/>
      <c r="N76" s="79">
        <v>0</v>
      </c>
      <c r="O76" s="79">
        <v>0</v>
      </c>
      <c r="P76" s="75">
        <v>0</v>
      </c>
      <c r="Q76" s="75">
        <v>0</v>
      </c>
      <c r="R76" s="79">
        <v>0</v>
      </c>
      <c r="S76" s="79">
        <v>0</v>
      </c>
      <c r="T76" s="75">
        <v>0</v>
      </c>
      <c r="U76" s="75">
        <v>0</v>
      </c>
      <c r="V76" s="137">
        <v>0</v>
      </c>
      <c r="W76" s="79">
        <v>0</v>
      </c>
      <c r="X76" s="112">
        <v>837922</v>
      </c>
      <c r="Y76" s="112">
        <v>0</v>
      </c>
      <c r="Z76" s="137">
        <v>0</v>
      </c>
      <c r="AA76" s="80">
        <v>0</v>
      </c>
      <c r="AB76" s="112">
        <v>0</v>
      </c>
      <c r="AC76" s="112">
        <v>0</v>
      </c>
      <c r="AD76" s="81">
        <v>0</v>
      </c>
      <c r="AE76" s="81">
        <v>0</v>
      </c>
      <c r="AF76" s="137">
        <v>0</v>
      </c>
      <c r="AG76" s="139">
        <v>0</v>
      </c>
      <c r="AH76" s="82">
        <v>0</v>
      </c>
      <c r="AI76" s="82">
        <v>0</v>
      </c>
      <c r="AJ76" s="112">
        <v>0</v>
      </c>
      <c r="AK76" s="112">
        <v>0</v>
      </c>
      <c r="AL76" s="137">
        <v>0</v>
      </c>
      <c r="AM76" s="137">
        <v>0</v>
      </c>
      <c r="AN76" s="112">
        <v>0</v>
      </c>
      <c r="AO76" s="116">
        <v>0</v>
      </c>
      <c r="AP76" s="137">
        <v>0</v>
      </c>
      <c r="AQ76" s="137">
        <v>0</v>
      </c>
      <c r="AR76" s="112">
        <v>0</v>
      </c>
      <c r="AS76" s="112">
        <v>0</v>
      </c>
      <c r="AT76" s="137">
        <v>0</v>
      </c>
      <c r="AU76" s="137">
        <v>0</v>
      </c>
      <c r="AV76" s="112">
        <v>0</v>
      </c>
      <c r="AW76" s="112">
        <v>0</v>
      </c>
      <c r="AX76" s="75">
        <f t="shared" si="15"/>
        <v>837922</v>
      </c>
      <c r="AY76" s="75"/>
      <c r="AZ76" s="75">
        <v>0</v>
      </c>
      <c r="BA76" s="75"/>
      <c r="BB76" s="118">
        <f t="shared" si="11"/>
        <v>837922</v>
      </c>
      <c r="BD76" s="124">
        <f t="shared" si="12"/>
        <v>837922</v>
      </c>
      <c r="BE76" s="124">
        <f t="shared" si="13"/>
        <v>0</v>
      </c>
      <c r="BL76" s="75"/>
      <c r="BM76" s="75">
        <v>837922</v>
      </c>
      <c r="BN76" s="75">
        <f t="shared" si="14"/>
        <v>852837.01160000009</v>
      </c>
      <c r="BO76" s="143">
        <v>1.78E-2</v>
      </c>
      <c r="BP76" s="158"/>
      <c r="BQ76" s="37"/>
      <c r="BT76" s="38"/>
    </row>
    <row r="77" spans="1:72" x14ac:dyDescent="0.25">
      <c r="A77" s="142">
        <v>51335</v>
      </c>
      <c r="B77" s="35" t="s">
        <v>105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f t="shared" si="9"/>
        <v>0</v>
      </c>
      <c r="M77" s="75"/>
      <c r="N77" s="79">
        <v>0</v>
      </c>
      <c r="O77" s="79">
        <v>0</v>
      </c>
      <c r="P77" s="75">
        <v>0</v>
      </c>
      <c r="Q77" s="75">
        <v>0</v>
      </c>
      <c r="R77" s="79">
        <v>0</v>
      </c>
      <c r="S77" s="79">
        <v>0</v>
      </c>
      <c r="T77" s="75">
        <v>0</v>
      </c>
      <c r="U77" s="75">
        <v>0</v>
      </c>
      <c r="V77" s="137">
        <v>0</v>
      </c>
      <c r="W77" s="79">
        <v>0</v>
      </c>
      <c r="X77" s="112">
        <v>0</v>
      </c>
      <c r="Y77" s="112">
        <v>0</v>
      </c>
      <c r="Z77" s="137">
        <v>0</v>
      </c>
      <c r="AA77" s="80">
        <v>0</v>
      </c>
      <c r="AB77" s="112">
        <v>0</v>
      </c>
      <c r="AC77" s="112">
        <v>0</v>
      </c>
      <c r="AD77" s="81">
        <v>0</v>
      </c>
      <c r="AE77" s="81">
        <v>0</v>
      </c>
      <c r="AF77" s="137">
        <v>0</v>
      </c>
      <c r="AG77" s="139">
        <v>0</v>
      </c>
      <c r="AH77" s="82">
        <v>0</v>
      </c>
      <c r="AI77" s="82">
        <v>0</v>
      </c>
      <c r="AJ77" s="112">
        <v>0</v>
      </c>
      <c r="AK77" s="112">
        <v>0</v>
      </c>
      <c r="AL77" s="137">
        <v>0</v>
      </c>
      <c r="AM77" s="137">
        <v>0</v>
      </c>
      <c r="AN77" s="112">
        <v>0</v>
      </c>
      <c r="AO77" s="116">
        <v>0</v>
      </c>
      <c r="AP77" s="137">
        <v>0</v>
      </c>
      <c r="AQ77" s="137">
        <v>0</v>
      </c>
      <c r="AR77" s="112">
        <v>0</v>
      </c>
      <c r="AS77" s="112">
        <v>0</v>
      </c>
      <c r="AT77" s="137">
        <v>0</v>
      </c>
      <c r="AU77" s="137">
        <v>0</v>
      </c>
      <c r="AV77" s="112">
        <v>0</v>
      </c>
      <c r="AW77" s="112">
        <v>0</v>
      </c>
      <c r="AX77" s="75">
        <f t="shared" si="15"/>
        <v>0</v>
      </c>
      <c r="AY77" s="75"/>
      <c r="AZ77" s="75">
        <v>7173654</v>
      </c>
      <c r="BA77" s="75"/>
      <c r="BB77" s="118">
        <f t="shared" si="11"/>
        <v>7173654</v>
      </c>
      <c r="BD77" s="124">
        <f t="shared" si="12"/>
        <v>0</v>
      </c>
      <c r="BE77" s="124">
        <f t="shared" si="13"/>
        <v>0</v>
      </c>
      <c r="BL77" s="75"/>
      <c r="BM77" s="75">
        <v>0</v>
      </c>
      <c r="BN77" s="75">
        <f t="shared" si="14"/>
        <v>0</v>
      </c>
      <c r="BO77" s="143">
        <v>1.78E-2</v>
      </c>
      <c r="BQ77" s="8"/>
      <c r="BT77" s="38"/>
    </row>
    <row r="78" spans="1:72" x14ac:dyDescent="0.25">
      <c r="A78" s="39">
        <v>51340</v>
      </c>
      <c r="B78" s="122" t="s">
        <v>106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75">
        <v>0</v>
      </c>
      <c r="J78" s="84">
        <v>0</v>
      </c>
      <c r="K78" s="84">
        <v>0</v>
      </c>
      <c r="L78" s="75">
        <f t="shared" si="9"/>
        <v>0</v>
      </c>
      <c r="M78" s="75"/>
      <c r="N78" s="85">
        <v>0</v>
      </c>
      <c r="O78" s="79">
        <v>0</v>
      </c>
      <c r="P78" s="75">
        <v>0</v>
      </c>
      <c r="Q78" s="75">
        <v>0</v>
      </c>
      <c r="R78" s="79">
        <v>0</v>
      </c>
      <c r="S78" s="79">
        <v>0</v>
      </c>
      <c r="T78" s="84">
        <v>0</v>
      </c>
      <c r="U78" s="75">
        <v>0</v>
      </c>
      <c r="V78" s="137">
        <v>0</v>
      </c>
      <c r="W78" s="79">
        <v>0</v>
      </c>
      <c r="X78" s="112">
        <v>0</v>
      </c>
      <c r="Y78" s="113">
        <v>0</v>
      </c>
      <c r="Z78" s="137">
        <v>0</v>
      </c>
      <c r="AA78" s="80">
        <v>0</v>
      </c>
      <c r="AB78" s="112">
        <v>0</v>
      </c>
      <c r="AC78" s="112">
        <v>0</v>
      </c>
      <c r="AD78" s="81">
        <v>0</v>
      </c>
      <c r="AE78" s="81">
        <v>0</v>
      </c>
      <c r="AF78" s="137">
        <v>0</v>
      </c>
      <c r="AG78" s="139">
        <v>0</v>
      </c>
      <c r="AH78" s="82">
        <v>0</v>
      </c>
      <c r="AI78" s="82">
        <v>0</v>
      </c>
      <c r="AJ78" s="112">
        <v>0</v>
      </c>
      <c r="AK78" s="112">
        <v>0</v>
      </c>
      <c r="AL78" s="137">
        <v>0</v>
      </c>
      <c r="AM78" s="137">
        <v>0</v>
      </c>
      <c r="AN78" s="112">
        <v>0</v>
      </c>
      <c r="AO78" s="116">
        <v>0</v>
      </c>
      <c r="AP78" s="137">
        <v>0</v>
      </c>
      <c r="AQ78" s="137">
        <v>0</v>
      </c>
      <c r="AR78" s="113">
        <v>0</v>
      </c>
      <c r="AS78" s="112">
        <v>0</v>
      </c>
      <c r="AT78" s="137">
        <v>0</v>
      </c>
      <c r="AU78" s="138">
        <v>0</v>
      </c>
      <c r="AV78" s="113">
        <v>0</v>
      </c>
      <c r="AW78" s="112">
        <v>0</v>
      </c>
      <c r="AX78" s="75">
        <f t="shared" si="15"/>
        <v>0</v>
      </c>
      <c r="AY78" s="75"/>
      <c r="AZ78" s="75">
        <v>849858</v>
      </c>
      <c r="BA78" s="75"/>
      <c r="BB78" s="164">
        <f t="shared" si="11"/>
        <v>849858</v>
      </c>
      <c r="BD78" s="124">
        <f t="shared" si="12"/>
        <v>0</v>
      </c>
      <c r="BE78" s="124">
        <f t="shared" si="13"/>
        <v>0</v>
      </c>
      <c r="BK78" s="142"/>
      <c r="BL78" s="75"/>
      <c r="BM78" s="75">
        <v>0</v>
      </c>
      <c r="BN78" s="75">
        <f t="shared" si="14"/>
        <v>0</v>
      </c>
      <c r="BO78" s="143">
        <v>1.78E-2</v>
      </c>
      <c r="BQ78" s="8"/>
    </row>
    <row r="79" spans="1:72" s="13" customFormat="1" x14ac:dyDescent="0.25">
      <c r="A79" s="329" t="s">
        <v>107</v>
      </c>
      <c r="B79" s="329"/>
      <c r="C79" s="78">
        <f>SUM(C24:C78)</f>
        <v>410680</v>
      </c>
      <c r="D79" s="78">
        <f>SUM(D24:D78)</f>
        <v>299980</v>
      </c>
      <c r="E79" s="78">
        <f>SUM(E24:E78)</f>
        <v>1011418</v>
      </c>
      <c r="F79" s="78">
        <f t="shared" ref="F79:AZ79" si="16">SUM(F24:F78)</f>
        <v>592227</v>
      </c>
      <c r="G79" s="78">
        <f t="shared" si="16"/>
        <v>630010</v>
      </c>
      <c r="H79" s="78">
        <f t="shared" si="16"/>
        <v>506875</v>
      </c>
      <c r="I79" s="78">
        <f t="shared" si="16"/>
        <v>41000</v>
      </c>
      <c r="J79" s="78">
        <f t="shared" si="16"/>
        <v>69200</v>
      </c>
      <c r="K79" s="78">
        <f t="shared" si="16"/>
        <v>289900</v>
      </c>
      <c r="L79" s="78">
        <f t="shared" si="16"/>
        <v>3851290</v>
      </c>
      <c r="M79" s="97"/>
      <c r="N79" s="78">
        <f>SUM(N24:N78)</f>
        <v>424532</v>
      </c>
      <c r="O79" s="78">
        <f>SUM(O24:O78)</f>
        <v>39639</v>
      </c>
      <c r="P79" s="78">
        <f>SUM(P24:P78)</f>
        <v>0</v>
      </c>
      <c r="Q79" s="78">
        <f>SUM(Q24:Q78)</f>
        <v>0</v>
      </c>
      <c r="R79" s="78">
        <f t="shared" si="16"/>
        <v>174474</v>
      </c>
      <c r="S79" s="78">
        <f t="shared" si="16"/>
        <v>5116</v>
      </c>
      <c r="T79" s="78">
        <f t="shared" si="16"/>
        <v>210241</v>
      </c>
      <c r="U79" s="78">
        <f t="shared" si="16"/>
        <v>1836</v>
      </c>
      <c r="V79" s="78">
        <f t="shared" si="16"/>
        <v>348980</v>
      </c>
      <c r="W79" s="78">
        <f t="shared" si="16"/>
        <v>0</v>
      </c>
      <c r="X79" s="78">
        <f>SUM(X24:X78)</f>
        <v>2274124</v>
      </c>
      <c r="Y79" s="78">
        <f>SUM(Y24:Y78)</f>
        <v>380137</v>
      </c>
      <c r="Z79" s="78">
        <f>SUM(Z24:Z78)</f>
        <v>12440</v>
      </c>
      <c r="AA79" s="78">
        <f t="shared" si="16"/>
        <v>0</v>
      </c>
      <c r="AB79" s="78">
        <f t="shared" si="16"/>
        <v>414062</v>
      </c>
      <c r="AC79" s="78">
        <f t="shared" si="16"/>
        <v>38683</v>
      </c>
      <c r="AD79" s="78">
        <f t="shared" si="16"/>
        <v>0</v>
      </c>
      <c r="AE79" s="78">
        <f>SUM(AE24:AE78)</f>
        <v>0</v>
      </c>
      <c r="AF79" s="78">
        <f t="shared" si="16"/>
        <v>240841</v>
      </c>
      <c r="AG79" s="78">
        <f t="shared" si="16"/>
        <v>22236</v>
      </c>
      <c r="AH79" s="78">
        <f t="shared" si="16"/>
        <v>0</v>
      </c>
      <c r="AI79" s="78">
        <f t="shared" si="16"/>
        <v>0</v>
      </c>
      <c r="AJ79" s="78">
        <f t="shared" si="16"/>
        <v>142260</v>
      </c>
      <c r="AK79" s="78">
        <f t="shared" si="16"/>
        <v>10754</v>
      </c>
      <c r="AL79" s="78">
        <f t="shared" si="16"/>
        <v>41201</v>
      </c>
      <c r="AM79" s="78">
        <f t="shared" si="16"/>
        <v>1227</v>
      </c>
      <c r="AN79" s="78">
        <f t="shared" si="16"/>
        <v>184250</v>
      </c>
      <c r="AO79" s="78">
        <f t="shared" si="16"/>
        <v>10054</v>
      </c>
      <c r="AP79" s="78">
        <f t="shared" si="16"/>
        <v>230463</v>
      </c>
      <c r="AQ79" s="78">
        <f t="shared" si="16"/>
        <v>5907</v>
      </c>
      <c r="AR79" s="78">
        <f t="shared" si="16"/>
        <v>132744</v>
      </c>
      <c r="AS79" s="78">
        <f t="shared" si="16"/>
        <v>4692</v>
      </c>
      <c r="AT79" s="78">
        <f t="shared" si="16"/>
        <v>35580</v>
      </c>
      <c r="AU79" s="78">
        <f t="shared" si="16"/>
        <v>16788</v>
      </c>
      <c r="AV79" s="78">
        <f t="shared" si="16"/>
        <v>1003251</v>
      </c>
      <c r="AW79" s="78">
        <f t="shared" si="16"/>
        <v>40680</v>
      </c>
      <c r="AX79" s="78">
        <f t="shared" si="16"/>
        <v>6447192</v>
      </c>
      <c r="AY79" s="97"/>
      <c r="AZ79" s="78">
        <f t="shared" si="16"/>
        <v>22535204</v>
      </c>
      <c r="BA79" s="97"/>
      <c r="BB79" s="78">
        <f>SUM(BB24:BB78)</f>
        <v>32833686</v>
      </c>
      <c r="BC79" s="29"/>
      <c r="BD79" s="28">
        <f>SUM(BD24:BD78)</f>
        <v>5869443</v>
      </c>
      <c r="BE79" s="28">
        <f>SUM(BE24:BE78)</f>
        <v>577749</v>
      </c>
      <c r="BF79" s="29"/>
      <c r="BG79" s="5"/>
      <c r="BH79" s="5"/>
      <c r="BI79" s="5"/>
      <c r="BJ79" s="5"/>
      <c r="BK79" s="142"/>
      <c r="BL79" s="78">
        <f>SUM(BL24:BL78)</f>
        <v>0</v>
      </c>
      <c r="BM79" s="78">
        <f>SUM(BM24:BM78)</f>
        <v>6364075</v>
      </c>
      <c r="BN79" s="78">
        <f>SUM(BN24:BN78)</f>
        <v>6493985.0735504152</v>
      </c>
      <c r="BO79" s="143"/>
      <c r="BP79" s="143"/>
      <c r="BQ79" s="8"/>
      <c r="BR79" s="5"/>
      <c r="BS79" s="5"/>
      <c r="BT79" s="5"/>
    </row>
    <row r="80" spans="1:72" s="38" customFormat="1" x14ac:dyDescent="0.25">
      <c r="A80" s="40"/>
      <c r="B80" s="40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26"/>
      <c r="BD80" s="26"/>
      <c r="BE80" s="26"/>
      <c r="BF80" s="26"/>
      <c r="BG80" s="5"/>
      <c r="BH80" s="5"/>
      <c r="BI80" s="5"/>
      <c r="BJ80" s="5"/>
      <c r="BK80" s="142"/>
      <c r="BL80" s="102"/>
      <c r="BM80" s="102"/>
      <c r="BN80" s="102"/>
      <c r="BO80" s="143"/>
      <c r="BP80" s="143"/>
      <c r="BQ80" s="8"/>
      <c r="BR80" s="5"/>
      <c r="BT80" s="5"/>
    </row>
    <row r="81" spans="1:72" s="13" customFormat="1" x14ac:dyDescent="0.25">
      <c r="A81" s="41"/>
      <c r="B81" s="45" t="s">
        <v>343</v>
      </c>
      <c r="C81" s="76">
        <f t="shared" ref="C81:BB81" si="17">C79+C22</f>
        <v>761152</v>
      </c>
      <c r="D81" s="76">
        <f t="shared" si="17"/>
        <v>440535</v>
      </c>
      <c r="E81" s="76">
        <f t="shared" si="17"/>
        <v>1011418</v>
      </c>
      <c r="F81" s="76">
        <f t="shared" si="17"/>
        <v>1893150</v>
      </c>
      <c r="G81" s="76">
        <f t="shared" si="17"/>
        <v>1124114</v>
      </c>
      <c r="H81" s="76">
        <f t="shared" si="17"/>
        <v>860736</v>
      </c>
      <c r="I81" s="76">
        <f t="shared" si="17"/>
        <v>559768</v>
      </c>
      <c r="J81" s="76">
        <f t="shared" si="17"/>
        <v>205656</v>
      </c>
      <c r="K81" s="76">
        <f t="shared" si="17"/>
        <v>582707</v>
      </c>
      <c r="L81" s="76">
        <f t="shared" si="17"/>
        <v>7439236</v>
      </c>
      <c r="M81" s="89"/>
      <c r="N81" s="76">
        <f>N79+N22</f>
        <v>424532</v>
      </c>
      <c r="O81" s="76">
        <f>O79+O22</f>
        <v>1272514</v>
      </c>
      <c r="P81" s="76">
        <f>P79+P22</f>
        <v>0</v>
      </c>
      <c r="Q81" s="76">
        <f>Q79+Q22</f>
        <v>0</v>
      </c>
      <c r="R81" s="76">
        <f t="shared" si="17"/>
        <v>174474</v>
      </c>
      <c r="S81" s="76">
        <f t="shared" si="17"/>
        <v>133460</v>
      </c>
      <c r="T81" s="76">
        <f t="shared" si="17"/>
        <v>210241</v>
      </c>
      <c r="U81" s="76">
        <f t="shared" si="17"/>
        <v>9904</v>
      </c>
      <c r="V81" s="76">
        <f t="shared" si="17"/>
        <v>348980</v>
      </c>
      <c r="W81" s="76">
        <f t="shared" si="17"/>
        <v>0</v>
      </c>
      <c r="X81" s="76">
        <f>X79+X22</f>
        <v>2274124</v>
      </c>
      <c r="Y81" s="76">
        <f>Y79+Y22</f>
        <v>662702</v>
      </c>
      <c r="Z81" s="76">
        <f>Z79+Z22</f>
        <v>394558</v>
      </c>
      <c r="AA81" s="76">
        <f t="shared" si="17"/>
        <v>0</v>
      </c>
      <c r="AB81" s="76">
        <f t="shared" si="17"/>
        <v>414062</v>
      </c>
      <c r="AC81" s="76">
        <f t="shared" si="17"/>
        <v>1400820</v>
      </c>
      <c r="AD81" s="76">
        <f t="shared" si="17"/>
        <v>0</v>
      </c>
      <c r="AE81" s="76">
        <f t="shared" si="17"/>
        <v>0</v>
      </c>
      <c r="AF81" s="76">
        <f t="shared" si="17"/>
        <v>240841</v>
      </c>
      <c r="AG81" s="76">
        <f t="shared" si="17"/>
        <v>893306</v>
      </c>
      <c r="AH81" s="76">
        <f t="shared" si="17"/>
        <v>0</v>
      </c>
      <c r="AI81" s="76">
        <f t="shared" si="17"/>
        <v>0</v>
      </c>
      <c r="AJ81" s="76">
        <f t="shared" si="17"/>
        <v>142260</v>
      </c>
      <c r="AK81" s="76">
        <f t="shared" si="17"/>
        <v>305120</v>
      </c>
      <c r="AL81" s="76">
        <f t="shared" si="17"/>
        <v>41201</v>
      </c>
      <c r="AM81" s="76">
        <f t="shared" si="17"/>
        <v>34016</v>
      </c>
      <c r="AN81" s="76">
        <f t="shared" si="17"/>
        <v>184250</v>
      </c>
      <c r="AO81" s="76">
        <f t="shared" si="17"/>
        <v>300401</v>
      </c>
      <c r="AP81" s="76">
        <f t="shared" si="17"/>
        <v>230463</v>
      </c>
      <c r="AQ81" s="76">
        <f t="shared" si="17"/>
        <v>137560</v>
      </c>
      <c r="AR81" s="76">
        <f t="shared" si="17"/>
        <v>132744</v>
      </c>
      <c r="AS81" s="76">
        <f t="shared" si="17"/>
        <v>584069</v>
      </c>
      <c r="AT81" s="76">
        <f t="shared" si="17"/>
        <v>35580</v>
      </c>
      <c r="AU81" s="76">
        <f t="shared" si="17"/>
        <v>1032011</v>
      </c>
      <c r="AV81" s="76">
        <f t="shared" si="17"/>
        <v>1003251</v>
      </c>
      <c r="AW81" s="76">
        <f t="shared" si="17"/>
        <v>1448420</v>
      </c>
      <c r="AX81" s="76">
        <f t="shared" si="17"/>
        <v>14465864</v>
      </c>
      <c r="AY81" s="89"/>
      <c r="AZ81" s="76">
        <f t="shared" si="17"/>
        <v>22828801</v>
      </c>
      <c r="BA81" s="89"/>
      <c r="BB81" s="76">
        <f t="shared" si="17"/>
        <v>44733901</v>
      </c>
      <c r="BC81" s="12"/>
      <c r="BD81" s="11">
        <f>BD79+BD22</f>
        <v>6251561</v>
      </c>
      <c r="BE81" s="11">
        <f>BE79+BE22</f>
        <v>8214303</v>
      </c>
      <c r="BF81" s="12"/>
      <c r="BG81" s="5"/>
      <c r="BH81" s="5"/>
      <c r="BI81" s="5"/>
      <c r="BJ81" s="5"/>
      <c r="BK81" s="142"/>
      <c r="BL81" s="76">
        <f>BL79+BL22</f>
        <v>373110</v>
      </c>
      <c r="BM81" s="76">
        <f>BM79+BM22</f>
        <v>14009637</v>
      </c>
      <c r="BN81" s="76">
        <f>BN79+BN22</f>
        <v>14929602.114210416</v>
      </c>
      <c r="BO81" s="143"/>
      <c r="BP81" s="143"/>
      <c r="BQ81" s="8"/>
      <c r="BR81" s="5"/>
      <c r="BT81" s="5"/>
    </row>
    <row r="82" spans="1:72" s="13" customFormat="1" x14ac:dyDescent="0.25">
      <c r="A82" s="42"/>
      <c r="B82" s="42" t="s">
        <v>344</v>
      </c>
      <c r="C82" s="162">
        <f>C81-SUM(C71:C78)</f>
        <v>761152</v>
      </c>
      <c r="D82" s="162">
        <f>D81-SUM(D71:D78)</f>
        <v>370535</v>
      </c>
      <c r="E82" s="162">
        <f t="shared" ref="E82:BB82" si="18">E81-SUM(E71:E78)</f>
        <v>1011418</v>
      </c>
      <c r="F82" s="162">
        <f t="shared" si="18"/>
        <v>1893150</v>
      </c>
      <c r="G82" s="162">
        <f t="shared" si="18"/>
        <v>1124114</v>
      </c>
      <c r="H82" s="162">
        <f t="shared" si="18"/>
        <v>860736</v>
      </c>
      <c r="I82" s="162">
        <f t="shared" si="18"/>
        <v>559768</v>
      </c>
      <c r="J82" s="162">
        <f t="shared" si="18"/>
        <v>205656</v>
      </c>
      <c r="K82" s="162">
        <f t="shared" si="18"/>
        <v>582707</v>
      </c>
      <c r="L82" s="89">
        <f t="shared" si="18"/>
        <v>7369236</v>
      </c>
      <c r="M82" s="89"/>
      <c r="N82" s="162">
        <f t="shared" si="18"/>
        <v>424532</v>
      </c>
      <c r="O82" s="162">
        <f t="shared" si="18"/>
        <v>1272514</v>
      </c>
      <c r="P82" s="162">
        <f t="shared" si="18"/>
        <v>0</v>
      </c>
      <c r="Q82" s="162">
        <f t="shared" si="18"/>
        <v>0</v>
      </c>
      <c r="R82" s="162">
        <f t="shared" si="18"/>
        <v>174474</v>
      </c>
      <c r="S82" s="162">
        <f t="shared" si="18"/>
        <v>133460</v>
      </c>
      <c r="T82" s="162">
        <f t="shared" si="18"/>
        <v>210241</v>
      </c>
      <c r="U82" s="162">
        <f t="shared" si="18"/>
        <v>9904</v>
      </c>
      <c r="V82" s="162">
        <f t="shared" si="18"/>
        <v>348980</v>
      </c>
      <c r="W82" s="89"/>
      <c r="X82" s="162">
        <f t="shared" si="18"/>
        <v>892055</v>
      </c>
      <c r="Y82" s="162">
        <f t="shared" si="18"/>
        <v>662702</v>
      </c>
      <c r="Z82" s="162">
        <f t="shared" si="18"/>
        <v>394558</v>
      </c>
      <c r="AA82" s="89">
        <f t="shared" si="18"/>
        <v>0</v>
      </c>
      <c r="AB82" s="162">
        <f t="shared" si="18"/>
        <v>414062</v>
      </c>
      <c r="AC82" s="162">
        <f t="shared" si="18"/>
        <v>1400820</v>
      </c>
      <c r="AD82" s="89">
        <f t="shared" si="18"/>
        <v>0</v>
      </c>
      <c r="AE82" s="89">
        <f t="shared" si="18"/>
        <v>0</v>
      </c>
      <c r="AF82" s="162">
        <f t="shared" si="18"/>
        <v>240841</v>
      </c>
      <c r="AG82" s="162">
        <f t="shared" si="18"/>
        <v>893306</v>
      </c>
      <c r="AH82" s="89">
        <f t="shared" si="18"/>
        <v>0</v>
      </c>
      <c r="AI82" s="89">
        <f t="shared" si="18"/>
        <v>0</v>
      </c>
      <c r="AJ82" s="162">
        <f t="shared" si="18"/>
        <v>142260</v>
      </c>
      <c r="AK82" s="162">
        <f t="shared" si="18"/>
        <v>305120</v>
      </c>
      <c r="AL82" s="162">
        <f t="shared" si="18"/>
        <v>41201</v>
      </c>
      <c r="AM82" s="162">
        <f t="shared" si="18"/>
        <v>34016</v>
      </c>
      <c r="AN82" s="162">
        <f t="shared" si="18"/>
        <v>184250</v>
      </c>
      <c r="AO82" s="162">
        <f t="shared" si="18"/>
        <v>300401</v>
      </c>
      <c r="AP82" s="162">
        <f t="shared" si="18"/>
        <v>230463</v>
      </c>
      <c r="AQ82" s="162">
        <f t="shared" si="18"/>
        <v>137560</v>
      </c>
      <c r="AR82" s="162">
        <f t="shared" si="18"/>
        <v>132744</v>
      </c>
      <c r="AS82" s="162">
        <f t="shared" si="18"/>
        <v>584069</v>
      </c>
      <c r="AT82" s="162">
        <f t="shared" si="18"/>
        <v>35580</v>
      </c>
      <c r="AU82" s="162">
        <f t="shared" si="18"/>
        <v>1032011</v>
      </c>
      <c r="AV82" s="162">
        <f t="shared" si="18"/>
        <v>1003251</v>
      </c>
      <c r="AW82" s="162">
        <f t="shared" si="18"/>
        <v>1448420</v>
      </c>
      <c r="AX82" s="89">
        <f t="shared" si="18"/>
        <v>13083795</v>
      </c>
      <c r="AY82" s="89"/>
      <c r="AZ82" s="162">
        <f t="shared" si="18"/>
        <v>13791495</v>
      </c>
      <c r="BA82" s="89"/>
      <c r="BB82" s="89">
        <f t="shared" si="18"/>
        <v>34244526</v>
      </c>
      <c r="BC82" s="12"/>
      <c r="BD82" s="12">
        <f>BD81-SUM(BD71:BD78)</f>
        <v>4869492</v>
      </c>
      <c r="BE82" s="12">
        <f>BE81-SUM(BE71:BE78)</f>
        <v>8214303</v>
      </c>
      <c r="BF82" s="12"/>
      <c r="BG82" s="5"/>
      <c r="BH82" s="5"/>
      <c r="BI82" s="5"/>
      <c r="BJ82" s="5"/>
      <c r="BK82" s="142"/>
      <c r="BL82" s="89"/>
      <c r="BM82" s="89"/>
      <c r="BN82" s="89"/>
      <c r="BO82" s="143"/>
      <c r="BP82" s="143"/>
      <c r="BQ82" s="8"/>
      <c r="BR82" s="5"/>
      <c r="BT82" s="5"/>
    </row>
    <row r="83" spans="1:72" s="74" customFormat="1" hidden="1" x14ac:dyDescent="0.25">
      <c r="A83" s="69"/>
      <c r="B83" s="161" t="s">
        <v>197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4">
        <f>L81-SUM(L71:L78)</f>
        <v>7369236</v>
      </c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>
        <f>X82-X30-SUM(X62:X69)</f>
        <v>602615</v>
      </c>
      <c r="Y83" s="103">
        <f t="shared" ref="Y83:AG83" si="19">Y82-Y30-SUM(Y62:Y69)</f>
        <v>472067</v>
      </c>
      <c r="Z83" s="103">
        <f t="shared" si="19"/>
        <v>382118</v>
      </c>
      <c r="AA83" s="103">
        <f t="shared" si="19"/>
        <v>0</v>
      </c>
      <c r="AB83" s="103">
        <f t="shared" si="19"/>
        <v>414062</v>
      </c>
      <c r="AC83" s="103">
        <f t="shared" si="19"/>
        <v>1400820</v>
      </c>
      <c r="AD83" s="103">
        <f t="shared" si="19"/>
        <v>0</v>
      </c>
      <c r="AE83" s="103">
        <f t="shared" si="19"/>
        <v>0</v>
      </c>
      <c r="AF83" s="103">
        <f t="shared" si="19"/>
        <v>240841</v>
      </c>
      <c r="AG83" s="103">
        <f t="shared" si="19"/>
        <v>893306</v>
      </c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>
        <f>AR82-AR30-SUM(AR62:AR69)</f>
        <v>99744</v>
      </c>
      <c r="AS83" s="103">
        <f>AS82-AS30-SUM(AS62:AS69)</f>
        <v>579869</v>
      </c>
      <c r="AT83" s="103">
        <f>AT82-AT30-SUM(AT62:AT69)</f>
        <v>35580</v>
      </c>
      <c r="AU83" s="103">
        <f>AU82-AU30-SUM(AU62:AU69)</f>
        <v>1015811</v>
      </c>
      <c r="AV83" s="103"/>
      <c r="AW83" s="103"/>
      <c r="AX83" s="103">
        <f>SUM(X83:AW83)</f>
        <v>6136833</v>
      </c>
      <c r="AY83" s="103"/>
      <c r="AZ83" s="103">
        <f>AZ81-SUM(AZ71:AZ78)</f>
        <v>13791495</v>
      </c>
      <c r="BA83" s="103"/>
      <c r="BB83" s="103">
        <f>BB81-SUM(BB71:BB78)</f>
        <v>34244526</v>
      </c>
      <c r="BC83" s="70"/>
      <c r="BD83" s="70"/>
      <c r="BE83" s="70"/>
      <c r="BF83" s="70"/>
      <c r="BG83" s="71"/>
      <c r="BH83" s="71"/>
      <c r="BI83" s="71"/>
      <c r="BJ83" s="71"/>
      <c r="BK83" s="72"/>
      <c r="BL83" s="103"/>
      <c r="BM83" s="103"/>
      <c r="BN83" s="103"/>
      <c r="BO83" s="149"/>
      <c r="BP83" s="149"/>
      <c r="BQ83" s="73"/>
      <c r="BR83" s="71"/>
      <c r="BT83" s="71"/>
    </row>
    <row r="84" spans="1:72" x14ac:dyDescent="0.25">
      <c r="A84" s="1" t="s">
        <v>108</v>
      </c>
      <c r="B84" s="14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6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6"/>
      <c r="AZ84" s="105"/>
      <c r="BA84" s="106"/>
      <c r="BB84" s="105"/>
      <c r="BC84" s="43"/>
      <c r="BD84" s="28"/>
      <c r="BE84" s="28"/>
      <c r="BF84" s="43"/>
      <c r="BK84" s="142"/>
      <c r="BL84" s="105"/>
      <c r="BM84" s="105"/>
      <c r="BN84" s="105"/>
      <c r="BQ84" s="8"/>
      <c r="BR84" s="38"/>
    </row>
    <row r="85" spans="1:72" x14ac:dyDescent="0.25">
      <c r="A85" s="142">
        <v>40210</v>
      </c>
      <c r="B85" s="35" t="s">
        <v>109</v>
      </c>
      <c r="C85" s="75"/>
      <c r="D85" s="75"/>
      <c r="E85" s="75"/>
      <c r="F85" s="75">
        <v>100000</v>
      </c>
      <c r="G85" s="75"/>
      <c r="H85" s="75"/>
      <c r="I85" s="75"/>
      <c r="J85" s="75"/>
      <c r="K85" s="75"/>
      <c r="L85" s="112">
        <f>SUM(C85:K85)</f>
        <v>100000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>
        <f t="shared" ref="AX85:AX94" si="20">SUM(N85:AV85)</f>
        <v>0</v>
      </c>
      <c r="AY85" s="75"/>
      <c r="AZ85" s="75">
        <v>0</v>
      </c>
      <c r="BA85" s="75"/>
      <c r="BB85" s="83">
        <f t="shared" ref="BB85:BB95" si="21">L85+AX85+AZ85</f>
        <v>100000</v>
      </c>
      <c r="BD85" s="124">
        <f t="shared" ref="BD85:BD101" si="22">+AV85+AT85+AR85+AP85+AN85+AL85+AJ85+AH85+AF85+AD85+AB85+AA85+Z85+X85+V85+T85+R85+P85+N85</f>
        <v>0</v>
      </c>
      <c r="BE85" s="124">
        <f t="shared" ref="BE85:BE101" si="23">AW85+AU85+AS85+AQ85+AO85+AM85+AK85+AI85+AG85+AE85+AC85+Y85+U85+S85+Q85+O85</f>
        <v>0</v>
      </c>
      <c r="BG85" s="18"/>
      <c r="BH85" s="18"/>
      <c r="BK85" s="142"/>
      <c r="BL85" s="75"/>
      <c r="BM85" s="75"/>
      <c r="BN85" s="75"/>
      <c r="BQ85" s="8"/>
      <c r="BR85" s="38"/>
    </row>
    <row r="86" spans="1:72" x14ac:dyDescent="0.25">
      <c r="A86" s="142">
        <v>40225</v>
      </c>
      <c r="B86" s="35" t="s">
        <v>110</v>
      </c>
      <c r="C86" s="75"/>
      <c r="D86" s="75"/>
      <c r="E86" s="75"/>
      <c r="F86" s="75">
        <v>0</v>
      </c>
      <c r="G86" s="75"/>
      <c r="H86" s="75"/>
      <c r="I86" s="75"/>
      <c r="J86" s="75"/>
      <c r="K86" s="75"/>
      <c r="L86" s="112">
        <f t="shared" ref="L86:L101" si="24">SUM(C86:K86)</f>
        <v>0</v>
      </c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>
        <f t="shared" si="20"/>
        <v>0</v>
      </c>
      <c r="AY86" s="75"/>
      <c r="AZ86" s="75">
        <v>0</v>
      </c>
      <c r="BA86" s="75"/>
      <c r="BB86" s="83">
        <f t="shared" si="21"/>
        <v>0</v>
      </c>
      <c r="BD86" s="124">
        <f t="shared" si="22"/>
        <v>0</v>
      </c>
      <c r="BE86" s="124">
        <f t="shared" si="23"/>
        <v>0</v>
      </c>
      <c r="BG86" s="7"/>
      <c r="BH86" s="7"/>
      <c r="BK86" s="142"/>
      <c r="BL86" s="75"/>
      <c r="BM86" s="75"/>
      <c r="BN86" s="75"/>
      <c r="BQ86" s="8"/>
    </row>
    <row r="87" spans="1:72" x14ac:dyDescent="0.25">
      <c r="A87" s="142">
        <v>40230</v>
      </c>
      <c r="B87" s="35" t="s">
        <v>111</v>
      </c>
      <c r="C87" s="75"/>
      <c r="D87" s="75"/>
      <c r="E87" s="75"/>
      <c r="F87" s="75">
        <v>0</v>
      </c>
      <c r="G87" s="75"/>
      <c r="H87" s="75"/>
      <c r="I87" s="75"/>
      <c r="J87" s="75"/>
      <c r="K87" s="75"/>
      <c r="L87" s="112">
        <f t="shared" si="24"/>
        <v>0</v>
      </c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>
        <f t="shared" si="20"/>
        <v>0</v>
      </c>
      <c r="AY87" s="75"/>
      <c r="AZ87" s="75">
        <v>0</v>
      </c>
      <c r="BA87" s="75"/>
      <c r="BB87" s="83">
        <f t="shared" si="21"/>
        <v>0</v>
      </c>
      <c r="BD87" s="124">
        <f t="shared" si="22"/>
        <v>0</v>
      </c>
      <c r="BE87" s="124">
        <f t="shared" si="23"/>
        <v>0</v>
      </c>
      <c r="BG87" s="7"/>
      <c r="BH87" s="7"/>
      <c r="BK87" s="142"/>
      <c r="BL87" s="75"/>
      <c r="BM87" s="75"/>
      <c r="BN87" s="75"/>
      <c r="BQ87" s="8"/>
    </row>
    <row r="88" spans="1:72" x14ac:dyDescent="0.25">
      <c r="A88" s="142">
        <v>40235</v>
      </c>
      <c r="B88" s="35" t="s">
        <v>112</v>
      </c>
      <c r="C88" s="75"/>
      <c r="D88" s="75"/>
      <c r="E88" s="75"/>
      <c r="F88" s="75">
        <v>200000</v>
      </c>
      <c r="G88" s="75"/>
      <c r="H88" s="75"/>
      <c r="I88" s="75"/>
      <c r="J88" s="75"/>
      <c r="K88" s="75"/>
      <c r="L88" s="112">
        <f t="shared" si="24"/>
        <v>200000</v>
      </c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>
        <f t="shared" si="20"/>
        <v>0</v>
      </c>
      <c r="AY88" s="75"/>
      <c r="AZ88" s="75">
        <v>0</v>
      </c>
      <c r="BA88" s="75"/>
      <c r="BB88" s="83">
        <f t="shared" si="21"/>
        <v>200000</v>
      </c>
      <c r="BD88" s="124">
        <f t="shared" si="22"/>
        <v>0</v>
      </c>
      <c r="BE88" s="124">
        <f t="shared" si="23"/>
        <v>0</v>
      </c>
      <c r="BG88" s="7"/>
      <c r="BH88" s="7"/>
      <c r="BK88" s="142"/>
      <c r="BL88" s="75"/>
      <c r="BM88" s="75"/>
      <c r="BN88" s="75"/>
      <c r="BQ88" s="8"/>
    </row>
    <row r="89" spans="1:72" hidden="1" x14ac:dyDescent="0.25">
      <c r="A89" s="142">
        <v>40241</v>
      </c>
      <c r="B89" s="35" t="s">
        <v>113</v>
      </c>
      <c r="C89" s="75"/>
      <c r="D89" s="75"/>
      <c r="E89" s="75"/>
      <c r="F89" s="75">
        <v>0</v>
      </c>
      <c r="G89" s="75"/>
      <c r="H89" s="75"/>
      <c r="I89" s="75"/>
      <c r="J89" s="75"/>
      <c r="K89" s="75"/>
      <c r="L89" s="112">
        <f t="shared" si="24"/>
        <v>0</v>
      </c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>
        <f t="shared" si="20"/>
        <v>0</v>
      </c>
      <c r="AY89" s="75"/>
      <c r="AZ89" s="75"/>
      <c r="BA89" s="75"/>
      <c r="BB89" s="83">
        <f t="shared" si="21"/>
        <v>0</v>
      </c>
      <c r="BD89" s="124">
        <f t="shared" si="22"/>
        <v>0</v>
      </c>
      <c r="BE89" s="124">
        <f t="shared" si="23"/>
        <v>0</v>
      </c>
      <c r="BG89" s="7"/>
      <c r="BH89" s="7"/>
      <c r="BL89" s="75"/>
      <c r="BM89" s="75"/>
      <c r="BN89" s="75"/>
      <c r="BQ89" s="8"/>
    </row>
    <row r="90" spans="1:72" x14ac:dyDescent="0.25">
      <c r="A90" s="142">
        <v>40243</v>
      </c>
      <c r="B90" s="35" t="s">
        <v>114</v>
      </c>
      <c r="C90" s="75"/>
      <c r="D90" s="75"/>
      <c r="E90" s="75"/>
      <c r="F90" s="75">
        <f>-509040+418560</f>
        <v>-90480</v>
      </c>
      <c r="G90" s="75"/>
      <c r="H90" s="75"/>
      <c r="I90" s="75"/>
      <c r="J90" s="75"/>
      <c r="K90" s="75"/>
      <c r="L90" s="112">
        <f t="shared" si="24"/>
        <v>-90480</v>
      </c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>
        <f t="shared" si="20"/>
        <v>0</v>
      </c>
      <c r="AY90" s="75"/>
      <c r="AZ90" s="75">
        <v>0</v>
      </c>
      <c r="BA90" s="75"/>
      <c r="BB90" s="83">
        <f t="shared" si="21"/>
        <v>-90480</v>
      </c>
      <c r="BD90" s="124">
        <f t="shared" si="22"/>
        <v>0</v>
      </c>
      <c r="BE90" s="124">
        <f t="shared" si="23"/>
        <v>0</v>
      </c>
      <c r="BG90" s="7"/>
      <c r="BL90" s="75"/>
      <c r="BM90" s="75"/>
      <c r="BN90" s="75"/>
      <c r="BQ90" s="8"/>
    </row>
    <row r="91" spans="1:72" hidden="1" x14ac:dyDescent="0.25">
      <c r="A91" s="142">
        <v>40244</v>
      </c>
      <c r="B91" s="35" t="s">
        <v>115</v>
      </c>
      <c r="C91" s="75"/>
      <c r="D91" s="75"/>
      <c r="E91" s="75"/>
      <c r="F91" s="75">
        <v>0</v>
      </c>
      <c r="G91" s="75"/>
      <c r="H91" s="75"/>
      <c r="I91" s="75"/>
      <c r="J91" s="75"/>
      <c r="K91" s="75"/>
      <c r="L91" s="112">
        <f t="shared" si="24"/>
        <v>0</v>
      </c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>
        <f t="shared" si="20"/>
        <v>0</v>
      </c>
      <c r="AY91" s="75"/>
      <c r="AZ91" s="75"/>
      <c r="BA91" s="75"/>
      <c r="BB91" s="83">
        <f t="shared" si="21"/>
        <v>0</v>
      </c>
      <c r="BD91" s="124">
        <f t="shared" si="22"/>
        <v>0</v>
      </c>
      <c r="BE91" s="124">
        <f t="shared" si="23"/>
        <v>0</v>
      </c>
      <c r="BG91" s="8"/>
      <c r="BL91" s="75"/>
      <c r="BM91" s="75"/>
      <c r="BN91" s="75"/>
      <c r="BQ91" s="8"/>
    </row>
    <row r="92" spans="1:72" x14ac:dyDescent="0.25">
      <c r="A92" s="142">
        <v>40245</v>
      </c>
      <c r="B92" s="35" t="s">
        <v>116</v>
      </c>
      <c r="C92" s="75"/>
      <c r="D92" s="75"/>
      <c r="E92" s="75"/>
      <c r="F92" s="75">
        <v>-332040</v>
      </c>
      <c r="G92" s="75"/>
      <c r="H92" s="75"/>
      <c r="I92" s="75"/>
      <c r="J92" s="75"/>
      <c r="K92" s="75"/>
      <c r="L92" s="112">
        <f t="shared" si="24"/>
        <v>-332040</v>
      </c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>
        <f t="shared" si="20"/>
        <v>0</v>
      </c>
      <c r="AY92" s="75"/>
      <c r="AZ92" s="75">
        <v>0</v>
      </c>
      <c r="BA92" s="75"/>
      <c r="BB92" s="83">
        <f t="shared" si="21"/>
        <v>-332040</v>
      </c>
      <c r="BD92" s="124">
        <f t="shared" si="22"/>
        <v>0</v>
      </c>
      <c r="BE92" s="124">
        <f t="shared" si="23"/>
        <v>0</v>
      </c>
      <c r="BL92" s="75"/>
      <c r="BM92" s="75"/>
      <c r="BN92" s="75"/>
      <c r="BQ92" s="8"/>
    </row>
    <row r="93" spans="1:72" hidden="1" x14ac:dyDescent="0.25">
      <c r="A93" s="142">
        <v>40246</v>
      </c>
      <c r="B93" s="35" t="s">
        <v>117</v>
      </c>
      <c r="C93" s="75"/>
      <c r="D93" s="75"/>
      <c r="E93" s="75"/>
      <c r="F93" s="75">
        <v>0</v>
      </c>
      <c r="G93" s="75"/>
      <c r="H93" s="75"/>
      <c r="I93" s="75"/>
      <c r="J93" s="75"/>
      <c r="K93" s="75"/>
      <c r="L93" s="112">
        <f t="shared" si="24"/>
        <v>0</v>
      </c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>
        <f t="shared" si="20"/>
        <v>0</v>
      </c>
      <c r="AY93" s="75"/>
      <c r="AZ93" s="75"/>
      <c r="BA93" s="75"/>
      <c r="BB93" s="83">
        <f t="shared" si="21"/>
        <v>0</v>
      </c>
      <c r="BD93" s="124">
        <f t="shared" si="22"/>
        <v>0</v>
      </c>
      <c r="BE93" s="124">
        <f t="shared" si="23"/>
        <v>0</v>
      </c>
      <c r="BL93" s="75"/>
      <c r="BM93" s="75"/>
      <c r="BN93" s="75"/>
      <c r="BQ93" s="8"/>
    </row>
    <row r="94" spans="1:72" x14ac:dyDescent="0.25">
      <c r="A94" s="142">
        <v>40247</v>
      </c>
      <c r="B94" s="35" t="s">
        <v>198</v>
      </c>
      <c r="C94" s="75"/>
      <c r="D94" s="75"/>
      <c r="E94" s="75"/>
      <c r="F94" s="75">
        <v>-105280</v>
      </c>
      <c r="G94" s="75"/>
      <c r="H94" s="75"/>
      <c r="I94" s="75"/>
      <c r="J94" s="75"/>
      <c r="K94" s="75"/>
      <c r="L94" s="112">
        <f t="shared" si="24"/>
        <v>-105280</v>
      </c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>
        <f t="shared" si="20"/>
        <v>0</v>
      </c>
      <c r="AY94" s="75"/>
      <c r="AZ94" s="75"/>
      <c r="BA94" s="75"/>
      <c r="BB94" s="83">
        <f t="shared" si="21"/>
        <v>-105280</v>
      </c>
      <c r="BD94" s="124">
        <f t="shared" si="22"/>
        <v>0</v>
      </c>
      <c r="BE94" s="124">
        <f t="shared" si="23"/>
        <v>0</v>
      </c>
      <c r="BL94" s="75"/>
      <c r="BM94" s="75"/>
      <c r="BN94" s="75"/>
      <c r="BQ94" s="8"/>
    </row>
    <row r="95" spans="1:72" x14ac:dyDescent="0.25">
      <c r="A95" s="142">
        <v>40248</v>
      </c>
      <c r="B95" s="35" t="s">
        <v>199</v>
      </c>
      <c r="C95" s="75"/>
      <c r="D95" s="75"/>
      <c r="E95" s="75"/>
      <c r="F95" s="75">
        <v>-84530</v>
      </c>
      <c r="G95" s="75"/>
      <c r="H95" s="75"/>
      <c r="I95" s="75"/>
      <c r="J95" s="75"/>
      <c r="K95" s="75"/>
      <c r="L95" s="112">
        <f t="shared" si="24"/>
        <v>-84530</v>
      </c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83">
        <f t="shared" si="21"/>
        <v>-84530</v>
      </c>
      <c r="BD95" s="124">
        <f t="shared" si="22"/>
        <v>0</v>
      </c>
      <c r="BE95" s="124">
        <f t="shared" si="23"/>
        <v>0</v>
      </c>
      <c r="BL95" s="75"/>
      <c r="BM95" s="75"/>
      <c r="BN95" s="75"/>
      <c r="BQ95" s="8"/>
    </row>
    <row r="96" spans="1:72" x14ac:dyDescent="0.25">
      <c r="A96" s="142">
        <v>40300</v>
      </c>
      <c r="B96" s="35" t="s">
        <v>119</v>
      </c>
      <c r="C96" s="75"/>
      <c r="D96" s="75"/>
      <c r="E96" s="75"/>
      <c r="F96" s="75">
        <v>26624124</v>
      </c>
      <c r="G96" s="75"/>
      <c r="H96" s="75"/>
      <c r="I96" s="75"/>
      <c r="J96" s="75"/>
      <c r="K96" s="75"/>
      <c r="L96" s="112">
        <f t="shared" si="24"/>
        <v>26624124</v>
      </c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>
        <f>SUM(N96:AV96)</f>
        <v>0</v>
      </c>
      <c r="AY96" s="75"/>
      <c r="AZ96" s="75">
        <v>0</v>
      </c>
      <c r="BA96" s="75"/>
      <c r="BB96" s="83">
        <f>L96+AX96+AZ96</f>
        <v>26624124</v>
      </c>
      <c r="BD96" s="124">
        <f t="shared" si="22"/>
        <v>0</v>
      </c>
      <c r="BE96" s="124">
        <f t="shared" si="23"/>
        <v>0</v>
      </c>
      <c r="BL96" s="75"/>
      <c r="BM96" s="75"/>
      <c r="BN96" s="75"/>
      <c r="BQ96" s="8"/>
    </row>
    <row r="97" spans="1:72" hidden="1" x14ac:dyDescent="0.25">
      <c r="B97" s="35"/>
      <c r="C97" s="75"/>
      <c r="D97" s="75"/>
      <c r="E97" s="75"/>
      <c r="F97" s="75"/>
      <c r="G97" s="75"/>
      <c r="H97" s="75"/>
      <c r="I97" s="75"/>
      <c r="J97" s="75"/>
      <c r="K97" s="75"/>
      <c r="L97" s="112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83"/>
      <c r="BD97" s="124">
        <f t="shared" si="22"/>
        <v>0</v>
      </c>
      <c r="BE97" s="124">
        <f t="shared" si="23"/>
        <v>0</v>
      </c>
      <c r="BL97" s="75"/>
      <c r="BM97" s="75"/>
      <c r="BN97" s="75"/>
      <c r="BQ97" s="8"/>
      <c r="BT97" s="38"/>
    </row>
    <row r="98" spans="1:72" x14ac:dyDescent="0.25">
      <c r="A98" s="142">
        <v>40400</v>
      </c>
      <c r="B98" s="35" t="s">
        <v>120</v>
      </c>
      <c r="C98" s="75"/>
      <c r="D98" s="75"/>
      <c r="E98" s="75"/>
      <c r="F98" s="75">
        <v>16506874</v>
      </c>
      <c r="G98" s="75"/>
      <c r="H98" s="75"/>
      <c r="I98" s="75"/>
      <c r="J98" s="75"/>
      <c r="K98" s="75"/>
      <c r="L98" s="112">
        <f t="shared" si="24"/>
        <v>16506874</v>
      </c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>
        <f>SUM(N98:AV98)</f>
        <v>0</v>
      </c>
      <c r="AY98" s="75"/>
      <c r="AZ98" s="75">
        <v>0</v>
      </c>
      <c r="BA98" s="75"/>
      <c r="BB98" s="83">
        <v>16506873</v>
      </c>
      <c r="BD98" s="124">
        <f t="shared" si="22"/>
        <v>0</v>
      </c>
      <c r="BE98" s="124">
        <f t="shared" si="23"/>
        <v>0</v>
      </c>
      <c r="BG98" s="44"/>
      <c r="BH98" s="44"/>
      <c r="BI98" s="44"/>
      <c r="BL98" s="75"/>
      <c r="BM98" s="75"/>
      <c r="BN98" s="75"/>
      <c r="BQ98" s="8"/>
    </row>
    <row r="99" spans="1:72" x14ac:dyDescent="0.25">
      <c r="A99" s="142">
        <v>40410</v>
      </c>
      <c r="B99" s="35" t="s">
        <v>121</v>
      </c>
      <c r="C99" s="75"/>
      <c r="D99" s="75"/>
      <c r="E99" s="75"/>
      <c r="F99" s="83">
        <v>6094359</v>
      </c>
      <c r="G99" s="75"/>
      <c r="H99" s="75"/>
      <c r="I99" s="75"/>
      <c r="J99" s="75"/>
      <c r="K99" s="75"/>
      <c r="L99" s="112">
        <f t="shared" si="24"/>
        <v>6094359</v>
      </c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>
        <f>SUM(N99:AV99)</f>
        <v>0</v>
      </c>
      <c r="AY99" s="75"/>
      <c r="AZ99" s="75">
        <v>0</v>
      </c>
      <c r="BA99" s="75"/>
      <c r="BB99" s="83">
        <f>L99+AX99+AZ99</f>
        <v>6094359</v>
      </c>
      <c r="BD99" s="124">
        <f t="shared" si="22"/>
        <v>0</v>
      </c>
      <c r="BE99" s="124">
        <f t="shared" si="23"/>
        <v>0</v>
      </c>
      <c r="BG99" s="13"/>
      <c r="BH99" s="13"/>
      <c r="BI99" s="13"/>
      <c r="BL99" s="75"/>
      <c r="BM99" s="75"/>
      <c r="BN99" s="75"/>
      <c r="BQ99" s="8"/>
    </row>
    <row r="100" spans="1:72" x14ac:dyDescent="0.25">
      <c r="A100" s="142">
        <v>40413</v>
      </c>
      <c r="B100" s="35" t="s">
        <v>122</v>
      </c>
      <c r="C100" s="75"/>
      <c r="D100" s="75"/>
      <c r="E100" s="75"/>
      <c r="F100" s="75">
        <v>0</v>
      </c>
      <c r="G100" s="75"/>
      <c r="H100" s="75"/>
      <c r="I100" s="75"/>
      <c r="J100" s="75"/>
      <c r="K100" s="75"/>
      <c r="L100" s="112">
        <f t="shared" si="24"/>
        <v>0</v>
      </c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>
        <f>SUM(N100:AV100)</f>
        <v>0</v>
      </c>
      <c r="AY100" s="75"/>
      <c r="AZ100" s="75">
        <v>0</v>
      </c>
      <c r="BA100" s="75"/>
      <c r="BB100" s="83">
        <f>L100+AX100+AZ100</f>
        <v>0</v>
      </c>
      <c r="BD100" s="124">
        <f t="shared" si="22"/>
        <v>0</v>
      </c>
      <c r="BE100" s="124">
        <f t="shared" si="23"/>
        <v>0</v>
      </c>
      <c r="BL100" s="75"/>
      <c r="BM100" s="75"/>
      <c r="BN100" s="75"/>
      <c r="BQ100" s="8"/>
    </row>
    <row r="101" spans="1:72" x14ac:dyDescent="0.25">
      <c r="A101" s="39">
        <v>40414</v>
      </c>
      <c r="B101" s="122" t="s">
        <v>123</v>
      </c>
      <c r="C101" s="84"/>
      <c r="D101" s="84"/>
      <c r="E101" s="84"/>
      <c r="F101" s="84">
        <v>0</v>
      </c>
      <c r="G101" s="84"/>
      <c r="H101" s="84"/>
      <c r="I101" s="84"/>
      <c r="J101" s="84"/>
      <c r="K101" s="84"/>
      <c r="L101" s="84">
        <f t="shared" si="24"/>
        <v>0</v>
      </c>
      <c r="M101" s="75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>
        <f>SUM(N101:AV101)</f>
        <v>0</v>
      </c>
      <c r="AY101" s="75"/>
      <c r="AZ101" s="84">
        <v>0</v>
      </c>
      <c r="BA101" s="75"/>
      <c r="BB101" s="88">
        <f>L101+AX101+AZ101</f>
        <v>0</v>
      </c>
      <c r="BD101" s="125">
        <f t="shared" si="22"/>
        <v>0</v>
      </c>
      <c r="BE101" s="125">
        <f t="shared" si="23"/>
        <v>0</v>
      </c>
      <c r="BL101" s="84"/>
      <c r="BM101" s="84"/>
      <c r="BN101" s="154"/>
      <c r="BQ101" s="8"/>
    </row>
    <row r="102" spans="1:72" s="13" customFormat="1" x14ac:dyDescent="0.25">
      <c r="A102" s="10"/>
      <c r="B102" s="45" t="s">
        <v>124</v>
      </c>
      <c r="C102" s="76">
        <f t="shared" ref="C102:L102" si="25">SUM(C85:C101)</f>
        <v>0</v>
      </c>
      <c r="D102" s="76">
        <f t="shared" si="25"/>
        <v>0</v>
      </c>
      <c r="E102" s="76">
        <f t="shared" si="25"/>
        <v>0</v>
      </c>
      <c r="F102" s="76">
        <f t="shared" si="25"/>
        <v>48913027</v>
      </c>
      <c r="G102" s="76">
        <f t="shared" si="25"/>
        <v>0</v>
      </c>
      <c r="H102" s="76">
        <f t="shared" si="25"/>
        <v>0</v>
      </c>
      <c r="I102" s="76">
        <f t="shared" si="25"/>
        <v>0</v>
      </c>
      <c r="J102" s="76">
        <f t="shared" si="25"/>
        <v>0</v>
      </c>
      <c r="K102" s="76">
        <f>SUM(K85:K101)</f>
        <v>0</v>
      </c>
      <c r="L102" s="76">
        <f t="shared" si="25"/>
        <v>48913027</v>
      </c>
      <c r="M102" s="89"/>
      <c r="N102" s="76">
        <f t="shared" ref="N102:V102" si="26">SUM(N85:N88,N96:N101)-N90-N92</f>
        <v>0</v>
      </c>
      <c r="O102" s="76">
        <f t="shared" si="26"/>
        <v>0</v>
      </c>
      <c r="P102" s="76">
        <f t="shared" si="26"/>
        <v>0</v>
      </c>
      <c r="Q102" s="76">
        <f t="shared" si="26"/>
        <v>0</v>
      </c>
      <c r="R102" s="76">
        <f t="shared" si="26"/>
        <v>0</v>
      </c>
      <c r="S102" s="76">
        <f t="shared" si="26"/>
        <v>0</v>
      </c>
      <c r="T102" s="76">
        <f t="shared" si="26"/>
        <v>0</v>
      </c>
      <c r="U102" s="76">
        <f t="shared" si="26"/>
        <v>0</v>
      </c>
      <c r="V102" s="76">
        <f t="shared" si="26"/>
        <v>0</v>
      </c>
      <c r="W102" s="76"/>
      <c r="X102" s="76">
        <f t="shared" ref="X102:AC102" si="27">SUM(X85:X88,X96:X101)-X90-X92</f>
        <v>0</v>
      </c>
      <c r="Y102" s="76">
        <f t="shared" si="27"/>
        <v>0</v>
      </c>
      <c r="Z102" s="76">
        <f t="shared" si="27"/>
        <v>0</v>
      </c>
      <c r="AA102" s="76">
        <f t="shared" si="27"/>
        <v>0</v>
      </c>
      <c r="AB102" s="76">
        <f t="shared" si="27"/>
        <v>0</v>
      </c>
      <c r="AC102" s="76">
        <f t="shared" si="27"/>
        <v>0</v>
      </c>
      <c r="AD102" s="76"/>
      <c r="AE102" s="76"/>
      <c r="AF102" s="76">
        <f>SUM(AF85:AF88,AF96:AF101)-AF90-AF92</f>
        <v>0</v>
      </c>
      <c r="AG102" s="76">
        <f>SUM(AG85:AG88,AG96:AG101)-AG90-AG92</f>
        <v>0</v>
      </c>
      <c r="AH102" s="76">
        <f>SUM(AH85:AH88,AH96:AH101)-AH90-AH92</f>
        <v>0</v>
      </c>
      <c r="AI102" s="76"/>
      <c r="AJ102" s="76">
        <f t="shared" ref="AJ102:AO102" si="28">SUM(AJ85:AJ88,AJ96:AJ101)-AJ90-AJ92</f>
        <v>0</v>
      </c>
      <c r="AK102" s="76">
        <f t="shared" si="28"/>
        <v>0</v>
      </c>
      <c r="AL102" s="76">
        <f t="shared" si="28"/>
        <v>0</v>
      </c>
      <c r="AM102" s="76">
        <f t="shared" si="28"/>
        <v>0</v>
      </c>
      <c r="AN102" s="76">
        <f t="shared" si="28"/>
        <v>0</v>
      </c>
      <c r="AO102" s="76">
        <f t="shared" si="28"/>
        <v>0</v>
      </c>
      <c r="AP102" s="76">
        <f t="shared" ref="AP102:AX102" si="29">SUM(AP85:AP88,AP96:AP101)-AP90-AP92</f>
        <v>0</v>
      </c>
      <c r="AQ102" s="76">
        <f t="shared" si="29"/>
        <v>0</v>
      </c>
      <c r="AR102" s="76">
        <f t="shared" si="29"/>
        <v>0</v>
      </c>
      <c r="AS102" s="76">
        <f t="shared" si="29"/>
        <v>0</v>
      </c>
      <c r="AT102" s="76">
        <f t="shared" si="29"/>
        <v>0</v>
      </c>
      <c r="AU102" s="76">
        <f t="shared" si="29"/>
        <v>0</v>
      </c>
      <c r="AV102" s="76">
        <f t="shared" si="29"/>
        <v>0</v>
      </c>
      <c r="AW102" s="76">
        <f t="shared" si="29"/>
        <v>0</v>
      </c>
      <c r="AX102" s="76">
        <f t="shared" si="29"/>
        <v>0</v>
      </c>
      <c r="AY102" s="89"/>
      <c r="AZ102" s="76">
        <f>SUM(AZ85:AZ88,AZ96:AZ101)-AZ90-AZ92</f>
        <v>0</v>
      </c>
      <c r="BA102" s="89"/>
      <c r="BB102" s="76">
        <f>SUM(BB85:BB101)</f>
        <v>48913026</v>
      </c>
      <c r="BC102" s="12"/>
      <c r="BD102" s="11">
        <f>SUM(BD85:BD88,BD96:BD101)-BD90-BD92</f>
        <v>0</v>
      </c>
      <c r="BE102" s="11">
        <f>SUM(BE85:BE88,BE96:BE101)-BE90-BE92</f>
        <v>0</v>
      </c>
      <c r="BF102" s="12"/>
      <c r="BG102" s="5"/>
      <c r="BH102" s="5"/>
      <c r="BI102" s="5"/>
      <c r="BJ102" s="5"/>
      <c r="BK102" s="5"/>
      <c r="BL102" s="76"/>
      <c r="BM102" s="76"/>
      <c r="BN102" s="76"/>
      <c r="BO102" s="143"/>
      <c r="BP102" s="143"/>
      <c r="BQ102" s="8"/>
      <c r="BR102" s="5"/>
      <c r="BS102" s="5"/>
      <c r="BT102" s="5"/>
    </row>
    <row r="103" spans="1:72" ht="15" customHeight="1" x14ac:dyDescent="0.25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83"/>
      <c r="BL103" s="75"/>
      <c r="BM103" s="75"/>
      <c r="BN103" s="75"/>
      <c r="BQ103" s="8"/>
      <c r="BS103" s="38"/>
    </row>
    <row r="104" spans="1:72" x14ac:dyDescent="0.25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107" t="s">
        <v>125</v>
      </c>
      <c r="BA104" s="75"/>
      <c r="BB104" s="83">
        <f>BB5-BB81+BB102</f>
        <v>8393176</v>
      </c>
      <c r="BL104" s="75"/>
      <c r="BM104" s="75"/>
      <c r="BN104" s="75"/>
      <c r="BQ104" s="8"/>
    </row>
    <row r="105" spans="1:72" hidden="1" x14ac:dyDescent="0.25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107" t="s">
        <v>126</v>
      </c>
      <c r="BA105" s="75"/>
      <c r="BB105" s="83">
        <f>BB5-BB82+BB102</f>
        <v>18882551</v>
      </c>
      <c r="BL105" s="75"/>
      <c r="BM105" s="75"/>
      <c r="BN105" s="75"/>
      <c r="BQ105" s="8"/>
      <c r="BR105" s="38"/>
    </row>
    <row r="106" spans="1:72" x14ac:dyDescent="0.25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BD106" s="330" t="s">
        <v>127</v>
      </c>
      <c r="BE106" s="330"/>
      <c r="BL106" s="75"/>
      <c r="BM106" s="75"/>
      <c r="BN106" s="75"/>
      <c r="BQ106" s="8"/>
    </row>
    <row r="107" spans="1:72" ht="68.7" customHeight="1" x14ac:dyDescent="0.25">
      <c r="C107" s="108" t="str">
        <f t="shared" ref="C107:AZ107" si="30">C1</f>
        <v>FY20
100
CEO</v>
      </c>
      <c r="D107" s="108" t="str">
        <f t="shared" si="30"/>
        <v>FY20
105
Administration</v>
      </c>
      <c r="E107" s="108" t="str">
        <f t="shared" si="30"/>
        <v>FY20
110
Board</v>
      </c>
      <c r="F107" s="108" t="str">
        <f t="shared" si="30"/>
        <v>FY20
120
Finance</v>
      </c>
      <c r="G107" s="108" t="str">
        <f t="shared" si="30"/>
        <v>FY20
130
Planning</v>
      </c>
      <c r="H107" s="108" t="str">
        <f t="shared" si="30"/>
        <v>FY20
140
C&amp;M</v>
      </c>
      <c r="I107" s="108" t="str">
        <f t="shared" si="30"/>
        <v>FY20
150
Transit Management</v>
      </c>
      <c r="J107" s="108" t="str">
        <f t="shared" si="30"/>
        <v>FY20
170
Human Resources</v>
      </c>
      <c r="K107" s="108" t="str">
        <f t="shared" si="30"/>
        <v>FY20
180
Information Technology</v>
      </c>
      <c r="L107" s="108" t="str">
        <f t="shared" si="30"/>
        <v>TOTAL
FY20
G&amp;A</v>
      </c>
      <c r="M107" s="108"/>
      <c r="N107" s="108" t="str">
        <f t="shared" si="30"/>
        <v>FY20
200
UNT</v>
      </c>
      <c r="O107" s="108" t="str">
        <f t="shared" si="30"/>
        <v>FY20
701
NTMC UNT</v>
      </c>
      <c r="P107" s="108" t="str">
        <f t="shared" si="30"/>
        <v>FY20
210
NCTC</v>
      </c>
      <c r="Q107" s="108" t="str">
        <f t="shared" si="30"/>
        <v>FY20
702
NTMC NCTC</v>
      </c>
      <c r="R107" s="108" t="str">
        <f t="shared" si="30"/>
        <v>FY20
220
Frisco</v>
      </c>
      <c r="S107" s="108" t="str">
        <f t="shared" si="30"/>
        <v>FY20
703
NTMC Frisco</v>
      </c>
      <c r="T107" s="108" t="str">
        <f t="shared" si="30"/>
        <v>FY20
230
CCT</v>
      </c>
      <c r="U107" s="108" t="str">
        <f t="shared" si="30"/>
        <v>FY20
704
NTMC CCT</v>
      </c>
      <c r="V107" s="108" t="str">
        <f t="shared" si="30"/>
        <v>FY20
240
MaaS</v>
      </c>
      <c r="W107" s="108" t="str">
        <f t="shared" si="30"/>
        <v>FY20
705
NTMC MaaS</v>
      </c>
      <c r="X107" s="108" t="str">
        <f t="shared" si="30"/>
        <v>FY20
500
Bus Service 
Admin</v>
      </c>
      <c r="Y107" s="108" t="str">
        <f t="shared" si="30"/>
        <v>FY20
700
NTMC Bus Service 
Admin</v>
      </c>
      <c r="Z107" s="108" t="str">
        <f t="shared" si="30"/>
        <v>FY20
505
Bus Ops 
Mgmt</v>
      </c>
      <c r="AA107" s="108" t="str">
        <f t="shared" si="30"/>
        <v>FY20
510
Fixed 
Route</v>
      </c>
      <c r="AB107" s="108" t="str">
        <f t="shared" si="30"/>
        <v>FY20
511
Denton
Fixed Route</v>
      </c>
      <c r="AC107" s="108" t="str">
        <f t="shared" si="30"/>
        <v>FY20
711
NTMC Denton
Fixed Route</v>
      </c>
      <c r="AD107" s="108" t="str">
        <f t="shared" si="30"/>
        <v>FY20
512
Highland Village
Fixed Route</v>
      </c>
      <c r="AE107" s="108" t="str">
        <f t="shared" si="30"/>
        <v>FY20
712
NTMC Highland Village
Fixed Route</v>
      </c>
      <c r="AF107" s="108" t="str">
        <f t="shared" si="30"/>
        <v>FY20
513
Lewisville
Fixed Route</v>
      </c>
      <c r="AG107" s="108" t="str">
        <f t="shared" si="30"/>
        <v>FY20
713
NTMC Lewisville
Fixed Route</v>
      </c>
      <c r="AH107" s="108" t="str">
        <f t="shared" si="30"/>
        <v>FY20
530
Demand Response</v>
      </c>
      <c r="AI107" s="108" t="str">
        <f t="shared" si="30"/>
        <v>FY20
730
NTMC Demand Response</v>
      </c>
      <c r="AJ107" s="108" t="str">
        <f t="shared" si="30"/>
        <v>FY20
531
Denton
Demand Response</v>
      </c>
      <c r="AK107" s="108" t="str">
        <f t="shared" si="30"/>
        <v>FY20
731
NTMC Denton
Demand Response</v>
      </c>
      <c r="AL107" s="108" t="str">
        <f t="shared" si="30"/>
        <v>FY20
532
HV
Demand Response</v>
      </c>
      <c r="AM107" s="108" t="str">
        <f t="shared" si="30"/>
        <v>FY20
732
NTMC HV
Demand Response</v>
      </c>
      <c r="AN107" s="108" t="str">
        <f t="shared" si="30"/>
        <v>FY20
533
Lewisville
Demand Response</v>
      </c>
      <c r="AO107" s="108" t="str">
        <f t="shared" si="30"/>
        <v>FY20
733
NTMC Lewisville
Demand Response</v>
      </c>
      <c r="AP107" s="108" t="str">
        <f t="shared" si="30"/>
        <v>FY20
540
NTX</v>
      </c>
      <c r="AQ107" s="108" t="str">
        <f t="shared" si="30"/>
        <v>FY20
740
NTMC NTX</v>
      </c>
      <c r="AR107" s="108" t="str">
        <f t="shared" si="30"/>
        <v>FY20
570
Customer Service</v>
      </c>
      <c r="AS107" s="108" t="str">
        <f t="shared" si="30"/>
        <v>FY20
770
NTMC Customer Service</v>
      </c>
      <c r="AT107" s="108" t="str">
        <f t="shared" si="30"/>
        <v>FY20
580
S&amp;D</v>
      </c>
      <c r="AU107" s="108" t="str">
        <f t="shared" si="30"/>
        <v>FY20
780
NTMC S&amp;D</v>
      </c>
      <c r="AV107" s="108" t="str">
        <f t="shared" si="30"/>
        <v>FY20
590
Maintenance</v>
      </c>
      <c r="AW107" s="108" t="str">
        <f t="shared" si="30"/>
        <v>FY20
790
NTMC Maintenance</v>
      </c>
      <c r="AX107" s="108" t="str">
        <f t="shared" si="30"/>
        <v>TOTAL
FY20
Bus
Services
(DCTA + NTMC)</v>
      </c>
      <c r="AY107" s="108"/>
      <c r="AZ107" s="108" t="str">
        <f t="shared" si="30"/>
        <v>TOTAL 
FY20
Rail 
Services</v>
      </c>
      <c r="BA107" s="108"/>
      <c r="BB107" s="108" t="s">
        <v>192</v>
      </c>
      <c r="BC107" s="46"/>
      <c r="BD107" s="127" t="s">
        <v>348</v>
      </c>
      <c r="BE107" s="127" t="s">
        <v>362</v>
      </c>
      <c r="BF107" s="46"/>
      <c r="BG107" s="47" t="s">
        <v>363</v>
      </c>
      <c r="BH107" s="108" t="s">
        <v>364</v>
      </c>
      <c r="BI107" s="108" t="s">
        <v>365</v>
      </c>
      <c r="BJ107" s="60" t="s">
        <v>191</v>
      </c>
      <c r="BK107" s="140" t="s">
        <v>193</v>
      </c>
      <c r="BL107" s="108"/>
      <c r="BM107" s="108" t="s">
        <v>366</v>
      </c>
      <c r="BN107" s="108"/>
      <c r="BO107" s="150" t="s">
        <v>367</v>
      </c>
      <c r="BP107" s="150" t="s">
        <v>368</v>
      </c>
      <c r="BQ107" s="60" t="s">
        <v>201</v>
      </c>
      <c r="BR107" s="60" t="s">
        <v>202</v>
      </c>
      <c r="BS107" s="60" t="s">
        <v>203</v>
      </c>
      <c r="BT107" s="140" t="s">
        <v>204</v>
      </c>
    </row>
    <row r="108" spans="1:72" x14ac:dyDescent="0.25">
      <c r="B108" s="35" t="s">
        <v>129</v>
      </c>
      <c r="C108" s="75">
        <f t="shared" ref="C108:P108" si="31">SUM(C8:C21)</f>
        <v>350472</v>
      </c>
      <c r="D108" s="75">
        <f>SUM(D8:D21)</f>
        <v>140555</v>
      </c>
      <c r="E108" s="75">
        <f t="shared" si="31"/>
        <v>0</v>
      </c>
      <c r="F108" s="75">
        <f t="shared" si="31"/>
        <v>1300923</v>
      </c>
      <c r="G108" s="75">
        <f t="shared" si="31"/>
        <v>494104</v>
      </c>
      <c r="H108" s="75">
        <f t="shared" si="31"/>
        <v>353861</v>
      </c>
      <c r="I108" s="75">
        <f t="shared" si="31"/>
        <v>518768</v>
      </c>
      <c r="J108" s="75">
        <f t="shared" si="31"/>
        <v>136456</v>
      </c>
      <c r="K108" s="75">
        <f>SUM(K8:K21)</f>
        <v>292807</v>
      </c>
      <c r="L108" s="75">
        <f t="shared" si="31"/>
        <v>3587946</v>
      </c>
      <c r="M108" s="75"/>
      <c r="N108" s="75">
        <f t="shared" si="31"/>
        <v>0</v>
      </c>
      <c r="O108" s="75">
        <f>SUM(O8:O21)</f>
        <v>1232875</v>
      </c>
      <c r="P108" s="75">
        <f t="shared" si="31"/>
        <v>0</v>
      </c>
      <c r="Q108" s="75">
        <f t="shared" ref="Q108:AZ108" si="32">SUM(Q8:Q21)</f>
        <v>0</v>
      </c>
      <c r="R108" s="75">
        <f t="shared" si="32"/>
        <v>0</v>
      </c>
      <c r="S108" s="75">
        <f t="shared" si="32"/>
        <v>128344</v>
      </c>
      <c r="T108" s="75">
        <f t="shared" si="32"/>
        <v>0</v>
      </c>
      <c r="U108" s="75">
        <f t="shared" si="32"/>
        <v>8068</v>
      </c>
      <c r="V108" s="75">
        <f t="shared" si="32"/>
        <v>0</v>
      </c>
      <c r="W108" s="75">
        <f t="shared" si="32"/>
        <v>0</v>
      </c>
      <c r="X108" s="75">
        <f t="shared" si="32"/>
        <v>0</v>
      </c>
      <c r="Y108" s="75">
        <f t="shared" si="32"/>
        <v>282565</v>
      </c>
      <c r="Z108" s="75">
        <f t="shared" si="32"/>
        <v>382118</v>
      </c>
      <c r="AA108" s="75">
        <f t="shared" si="32"/>
        <v>0</v>
      </c>
      <c r="AB108" s="75">
        <f t="shared" si="32"/>
        <v>0</v>
      </c>
      <c r="AC108" s="75">
        <f t="shared" si="32"/>
        <v>1362137</v>
      </c>
      <c r="AD108" s="75">
        <f t="shared" si="32"/>
        <v>0</v>
      </c>
      <c r="AE108" s="75">
        <f t="shared" si="32"/>
        <v>0</v>
      </c>
      <c r="AF108" s="75">
        <f t="shared" si="32"/>
        <v>0</v>
      </c>
      <c r="AG108" s="75">
        <f t="shared" si="32"/>
        <v>871070</v>
      </c>
      <c r="AH108" s="75">
        <f t="shared" si="32"/>
        <v>0</v>
      </c>
      <c r="AI108" s="75">
        <f t="shared" si="32"/>
        <v>0</v>
      </c>
      <c r="AJ108" s="75">
        <f t="shared" si="32"/>
        <v>0</v>
      </c>
      <c r="AK108" s="75">
        <f t="shared" si="32"/>
        <v>294366</v>
      </c>
      <c r="AL108" s="75">
        <f t="shared" si="32"/>
        <v>0</v>
      </c>
      <c r="AM108" s="75">
        <f t="shared" si="32"/>
        <v>32789</v>
      </c>
      <c r="AN108" s="75">
        <f t="shared" si="32"/>
        <v>0</v>
      </c>
      <c r="AO108" s="75">
        <f t="shared" si="32"/>
        <v>290347</v>
      </c>
      <c r="AP108" s="75">
        <f t="shared" si="32"/>
        <v>0</v>
      </c>
      <c r="AQ108" s="75">
        <f t="shared" si="32"/>
        <v>131653</v>
      </c>
      <c r="AR108" s="75">
        <f t="shared" si="32"/>
        <v>0</v>
      </c>
      <c r="AS108" s="75">
        <f t="shared" si="32"/>
        <v>579377</v>
      </c>
      <c r="AT108" s="75">
        <f t="shared" si="32"/>
        <v>0</v>
      </c>
      <c r="AU108" s="75">
        <f t="shared" si="32"/>
        <v>1015223</v>
      </c>
      <c r="AV108" s="75">
        <f t="shared" si="32"/>
        <v>0</v>
      </c>
      <c r="AW108" s="75">
        <f t="shared" si="32"/>
        <v>1407740</v>
      </c>
      <c r="AX108" s="75">
        <f t="shared" si="32"/>
        <v>8018672</v>
      </c>
      <c r="AY108" s="75"/>
      <c r="AZ108" s="75">
        <f t="shared" si="32"/>
        <v>293597</v>
      </c>
      <c r="BA108" s="75"/>
      <c r="BB108" s="75">
        <f t="shared" ref="BB108:BB116" si="33">L108+AX108+AZ108</f>
        <v>11900215</v>
      </c>
      <c r="BC108" s="7"/>
      <c r="BD108" s="128">
        <f t="shared" ref="BD108:BD117" si="34">AW108+AU108+AS108+AQ108+AO108+AM108+AK108+AI108+AG108+AE108+AC108+Y108+U108+S108+Q108+O108</f>
        <v>7636554</v>
      </c>
      <c r="BE108" s="128">
        <f>AX108-BD108</f>
        <v>382118</v>
      </c>
      <c r="BF108" s="7"/>
      <c r="BG108" s="48">
        <f>L108+AZ108+BE108</f>
        <v>4263661</v>
      </c>
      <c r="BH108" s="8">
        <f>+P108+R108+T108+V108+X108+Z108+AB108+AF108+AJ108+AL108+AN108+AP108+AR108+AT108+AV108</f>
        <v>382118</v>
      </c>
      <c r="BI108" s="8">
        <f t="shared" ref="BI108:BI116" si="35">+O108+Q108+S108+U108+W108+Y108+AC108+AG108+AK108+AM108+AO108+AQ108+AS108+AU108+AW108</f>
        <v>7636554</v>
      </c>
      <c r="BJ108" s="8">
        <f>BH108+BI108</f>
        <v>8018672</v>
      </c>
      <c r="BK108" s="83">
        <f>L108+AZ108+BH108</f>
        <v>4263661</v>
      </c>
      <c r="BL108" s="75"/>
      <c r="BM108" s="75">
        <f t="shared" ref="BM108:BM116" si="36">+AV108+AT108+AR108+AP108+AN108+AL108+AJ108+AF108+AB108+Z108+X108+V108+T108+R108+P108+N108</f>
        <v>382118</v>
      </c>
      <c r="BN108" s="75"/>
      <c r="BO108" s="159">
        <f t="shared" ref="BO108:BO116" si="37">+AW108+AU108+AS108+AQ108+AO108+AM108+AK108+AG108+AC108+AA108+Y108+W108+U108+S108+Q108+O108</f>
        <v>7636554</v>
      </c>
      <c r="BP108" s="159">
        <f>BM108+AZ108+L108</f>
        <v>4263661</v>
      </c>
      <c r="BQ108" s="8">
        <f>+N108+P108+R108+T108+V108+X108+Z108+AB108+AF108+AJ108+AL108+AN108+AP108+AR108+AT108+AV108</f>
        <v>382118</v>
      </c>
      <c r="BR108" s="8">
        <f>+O108+Q108+S108+U108+W108+Y108+AA108+AC108+AG108+AK108+AM108+AO108+AQ108+AS108+AU108+AW108</f>
        <v>7636554</v>
      </c>
      <c r="BS108" s="8">
        <f>+BQ108+BR108</f>
        <v>8018672</v>
      </c>
      <c r="BT108" s="8">
        <f>BQ108+AZ108+L108</f>
        <v>4263661</v>
      </c>
    </row>
    <row r="109" spans="1:72" x14ac:dyDescent="0.25">
      <c r="B109" s="35" t="s">
        <v>181</v>
      </c>
      <c r="C109" s="75">
        <f t="shared" ref="C109:L109" si="38">SUM(C24:C38)</f>
        <v>345140</v>
      </c>
      <c r="D109" s="75">
        <f t="shared" si="38"/>
        <v>58630</v>
      </c>
      <c r="E109" s="75">
        <f t="shared" si="38"/>
        <v>979818</v>
      </c>
      <c r="F109" s="75">
        <f t="shared" si="38"/>
        <v>547750</v>
      </c>
      <c r="G109" s="75">
        <f t="shared" si="38"/>
        <v>602050</v>
      </c>
      <c r="H109" s="75">
        <f t="shared" si="38"/>
        <v>464260</v>
      </c>
      <c r="I109" s="75">
        <f t="shared" si="38"/>
        <v>41000</v>
      </c>
      <c r="J109" s="75">
        <f t="shared" si="38"/>
        <v>39400</v>
      </c>
      <c r="K109" s="75">
        <f t="shared" si="38"/>
        <v>214400</v>
      </c>
      <c r="L109" s="75">
        <f t="shared" si="38"/>
        <v>3292448</v>
      </c>
      <c r="M109" s="75"/>
      <c r="N109" s="75">
        <f>SUM(N24:N38)</f>
        <v>0</v>
      </c>
      <c r="O109" s="75">
        <f>SUM(O24:O38)</f>
        <v>7383</v>
      </c>
      <c r="P109" s="75">
        <f>SUM(P24:P38)</f>
        <v>0</v>
      </c>
      <c r="Q109" s="75">
        <f>SUM(Q24:Q38)</f>
        <v>0</v>
      </c>
      <c r="R109" s="75">
        <f t="shared" ref="R109:Z109" si="39">SUM(R24:R38)</f>
        <v>0</v>
      </c>
      <c r="S109" s="75">
        <f t="shared" si="39"/>
        <v>1180</v>
      </c>
      <c r="T109" s="75">
        <f t="shared" si="39"/>
        <v>0</v>
      </c>
      <c r="U109" s="75">
        <f t="shared" si="39"/>
        <v>450</v>
      </c>
      <c r="V109" s="75">
        <f t="shared" si="39"/>
        <v>0</v>
      </c>
      <c r="W109" s="75">
        <f t="shared" si="39"/>
        <v>0</v>
      </c>
      <c r="X109" s="75">
        <f t="shared" si="39"/>
        <v>713714</v>
      </c>
      <c r="Y109" s="75">
        <f t="shared" si="39"/>
        <v>357473</v>
      </c>
      <c r="Z109" s="75">
        <f t="shared" si="39"/>
        <v>0</v>
      </c>
      <c r="AA109" s="75">
        <f>SUM(AA24:AA38)</f>
        <v>0</v>
      </c>
      <c r="AB109" s="75">
        <f t="shared" ref="AB109:AG109" si="40">SUM(AB24:AB38)</f>
        <v>38207</v>
      </c>
      <c r="AC109" s="75">
        <f t="shared" si="40"/>
        <v>8659</v>
      </c>
      <c r="AD109" s="75">
        <f t="shared" si="40"/>
        <v>0</v>
      </c>
      <c r="AE109" s="75">
        <f>SUM(AE24:AE38)</f>
        <v>0</v>
      </c>
      <c r="AF109" s="75">
        <f t="shared" si="40"/>
        <v>28073</v>
      </c>
      <c r="AG109" s="75">
        <f t="shared" si="40"/>
        <v>6360</v>
      </c>
      <c r="AH109" s="75">
        <f>SUM(AH24:AH38)</f>
        <v>0</v>
      </c>
      <c r="AI109" s="75">
        <f t="shared" ref="AI109:AO109" si="41">SUM(AI24:AI38)</f>
        <v>0</v>
      </c>
      <c r="AJ109" s="75">
        <f t="shared" si="41"/>
        <v>50248</v>
      </c>
      <c r="AK109" s="75">
        <f t="shared" si="41"/>
        <v>1826</v>
      </c>
      <c r="AL109" s="75">
        <f t="shared" si="41"/>
        <v>6333</v>
      </c>
      <c r="AM109" s="75">
        <f t="shared" si="41"/>
        <v>231</v>
      </c>
      <c r="AN109" s="75">
        <f t="shared" si="41"/>
        <v>58539</v>
      </c>
      <c r="AO109" s="75">
        <f t="shared" si="41"/>
        <v>1246</v>
      </c>
      <c r="AP109" s="75">
        <f>SUM(AP24:AP38)</f>
        <v>8160</v>
      </c>
      <c r="AQ109" s="75">
        <f t="shared" ref="AQ109:AZ109" si="42">SUM(AQ24:AQ38)</f>
        <v>1911</v>
      </c>
      <c r="AR109" s="75">
        <f t="shared" si="42"/>
        <v>98064</v>
      </c>
      <c r="AS109" s="75">
        <f t="shared" si="42"/>
        <v>0</v>
      </c>
      <c r="AT109" s="75">
        <f t="shared" si="42"/>
        <v>0</v>
      </c>
      <c r="AU109" s="75">
        <f t="shared" si="42"/>
        <v>0</v>
      </c>
      <c r="AV109" s="75">
        <f t="shared" si="42"/>
        <v>256980</v>
      </c>
      <c r="AW109" s="75">
        <f t="shared" si="42"/>
        <v>13500</v>
      </c>
      <c r="AX109" s="75">
        <f t="shared" si="42"/>
        <v>1658537</v>
      </c>
      <c r="AY109" s="75"/>
      <c r="AZ109" s="75">
        <f t="shared" si="42"/>
        <v>479026</v>
      </c>
      <c r="BA109" s="75"/>
      <c r="BB109" s="75">
        <f t="shared" si="33"/>
        <v>5430011</v>
      </c>
      <c r="BC109" s="7"/>
      <c r="BD109" s="128">
        <f t="shared" si="34"/>
        <v>400219</v>
      </c>
      <c r="BE109" s="128">
        <f t="shared" ref="BE109:BE116" si="43">AX109-BD109</f>
        <v>1258318</v>
      </c>
      <c r="BF109" s="7"/>
      <c r="BG109" s="48">
        <f t="shared" ref="BG109:BG116" si="44">L109+AZ109+BE109</f>
        <v>5029792</v>
      </c>
      <c r="BH109" s="8">
        <f>+P109+R109+T109+V109+X109+Z109+AB109+AF109+AJ109+AL109+AN109+AP109+AR109+AT109+AV109</f>
        <v>1258318</v>
      </c>
      <c r="BI109" s="8">
        <f t="shared" si="35"/>
        <v>400219</v>
      </c>
      <c r="BJ109" s="8">
        <f t="shared" ref="BJ109:BJ116" si="45">BH109+BI109</f>
        <v>1658537</v>
      </c>
      <c r="BK109" s="83">
        <f t="shared" ref="BK109:BK117" si="46">L109+AZ109+BH109</f>
        <v>5029792</v>
      </c>
      <c r="BL109" s="75"/>
      <c r="BM109" s="75">
        <f t="shared" si="36"/>
        <v>1258318</v>
      </c>
      <c r="BN109" s="75"/>
      <c r="BO109" s="159">
        <f t="shared" si="37"/>
        <v>400219</v>
      </c>
      <c r="BP109" s="159">
        <f t="shared" ref="BP109:BP116" si="47">BM109+AZ109+L109</f>
        <v>5029792</v>
      </c>
      <c r="BQ109" s="8">
        <f t="shared" ref="BQ109:BR116" si="48">+N109+P109+R109+T109+V109+X109+Z109+AB109+AF109+AJ109+AL109+AN109+AP109+AR109+AT109+AV109</f>
        <v>1258318</v>
      </c>
      <c r="BR109" s="8">
        <f t="shared" si="48"/>
        <v>400219</v>
      </c>
      <c r="BS109" s="8">
        <f t="shared" ref="BS109:BS116" si="49">+BQ109+BR109</f>
        <v>1658537</v>
      </c>
      <c r="BT109" s="8">
        <f t="shared" ref="BT109:BT116" si="50">BQ109+AZ109+L109</f>
        <v>5029792</v>
      </c>
    </row>
    <row r="110" spans="1:72" x14ac:dyDescent="0.25">
      <c r="B110" s="35" t="s">
        <v>182</v>
      </c>
      <c r="C110" s="75">
        <f t="shared" ref="C110:L110" si="51">SUM(C39:C48)</f>
        <v>0</v>
      </c>
      <c r="D110" s="75">
        <f t="shared" si="51"/>
        <v>18200</v>
      </c>
      <c r="E110" s="75">
        <f t="shared" si="51"/>
        <v>500</v>
      </c>
      <c r="F110" s="75">
        <f t="shared" si="51"/>
        <v>0</v>
      </c>
      <c r="G110" s="75">
        <f t="shared" si="51"/>
        <v>0</v>
      </c>
      <c r="H110" s="75">
        <f t="shared" si="51"/>
        <v>22050</v>
      </c>
      <c r="I110" s="75">
        <f t="shared" si="51"/>
        <v>0</v>
      </c>
      <c r="J110" s="75">
        <f t="shared" si="51"/>
        <v>0</v>
      </c>
      <c r="K110" s="75">
        <f t="shared" si="51"/>
        <v>67300</v>
      </c>
      <c r="L110" s="75">
        <f t="shared" si="51"/>
        <v>108050</v>
      </c>
      <c r="M110" s="75"/>
      <c r="N110" s="75">
        <f>SUM(N39:N48)</f>
        <v>267308</v>
      </c>
      <c r="O110" s="75">
        <f>SUM(O39:O48)</f>
        <v>0</v>
      </c>
      <c r="P110" s="75">
        <f>SUM(P39:P48)</f>
        <v>0</v>
      </c>
      <c r="Q110" s="75">
        <f>SUM(Q39:Q48)</f>
        <v>0</v>
      </c>
      <c r="R110" s="75">
        <f t="shared" ref="R110:Z110" si="52">SUM(R39:R48)</f>
        <v>33084</v>
      </c>
      <c r="S110" s="75">
        <f t="shared" si="52"/>
        <v>0</v>
      </c>
      <c r="T110" s="75">
        <f t="shared" si="52"/>
        <v>1778</v>
      </c>
      <c r="U110" s="75">
        <f t="shared" si="52"/>
        <v>0</v>
      </c>
      <c r="V110" s="75">
        <f t="shared" si="52"/>
        <v>0</v>
      </c>
      <c r="W110" s="75">
        <f t="shared" si="52"/>
        <v>0</v>
      </c>
      <c r="X110" s="75">
        <f t="shared" si="52"/>
        <v>25569</v>
      </c>
      <c r="Y110" s="75">
        <f t="shared" si="52"/>
        <v>3293</v>
      </c>
      <c r="Z110" s="75">
        <f t="shared" si="52"/>
        <v>0</v>
      </c>
      <c r="AA110" s="75">
        <f>SUM(AA39:AA48)</f>
        <v>0</v>
      </c>
      <c r="AB110" s="75">
        <f t="shared" ref="AB110:AG110" si="53">SUM(AB39:AB48)</f>
        <v>283023</v>
      </c>
      <c r="AC110" s="75">
        <f t="shared" si="53"/>
        <v>0</v>
      </c>
      <c r="AD110" s="75">
        <f t="shared" si="53"/>
        <v>0</v>
      </c>
      <c r="AE110" s="75">
        <f t="shared" si="53"/>
        <v>0</v>
      </c>
      <c r="AF110" s="75">
        <f t="shared" si="53"/>
        <v>156428</v>
      </c>
      <c r="AG110" s="75">
        <f t="shared" si="53"/>
        <v>0</v>
      </c>
      <c r="AH110" s="75">
        <f>SUM(AH39:AH48)</f>
        <v>0</v>
      </c>
      <c r="AI110" s="75">
        <f t="shared" ref="AI110:AO110" si="54">SUM(AI39:AI48)</f>
        <v>0</v>
      </c>
      <c r="AJ110" s="75">
        <f t="shared" si="54"/>
        <v>51497</v>
      </c>
      <c r="AK110" s="75">
        <f t="shared" si="54"/>
        <v>0</v>
      </c>
      <c r="AL110" s="75">
        <f t="shared" si="54"/>
        <v>5940</v>
      </c>
      <c r="AM110" s="75">
        <f t="shared" si="54"/>
        <v>0</v>
      </c>
      <c r="AN110" s="75">
        <f t="shared" si="54"/>
        <v>99048</v>
      </c>
      <c r="AO110" s="75">
        <f t="shared" si="54"/>
        <v>0</v>
      </c>
      <c r="AP110" s="75">
        <f>SUM(AP39:AP48)</f>
        <v>46787</v>
      </c>
      <c r="AQ110" s="75">
        <f t="shared" ref="AQ110:AZ110" si="55">SUM(AQ39:AQ48)</f>
        <v>0</v>
      </c>
      <c r="AR110" s="75">
        <f t="shared" si="55"/>
        <v>11400</v>
      </c>
      <c r="AS110" s="75">
        <f t="shared" si="55"/>
        <v>0</v>
      </c>
      <c r="AT110" s="75">
        <f t="shared" si="55"/>
        <v>21600</v>
      </c>
      <c r="AU110" s="75">
        <f t="shared" si="55"/>
        <v>0</v>
      </c>
      <c r="AV110" s="75">
        <f t="shared" si="55"/>
        <v>724707</v>
      </c>
      <c r="AW110" s="75">
        <f t="shared" si="55"/>
        <v>0</v>
      </c>
      <c r="AX110" s="75">
        <f t="shared" si="55"/>
        <v>1731462</v>
      </c>
      <c r="AY110" s="75"/>
      <c r="AZ110" s="75">
        <f t="shared" si="55"/>
        <v>1022300</v>
      </c>
      <c r="BA110" s="75"/>
      <c r="BB110" s="75">
        <f t="shared" si="33"/>
        <v>2861812</v>
      </c>
      <c r="BC110" s="7"/>
      <c r="BD110" s="128">
        <f t="shared" si="34"/>
        <v>3293</v>
      </c>
      <c r="BE110" s="128">
        <f t="shared" si="43"/>
        <v>1728169</v>
      </c>
      <c r="BF110" s="7"/>
      <c r="BG110" s="48">
        <f t="shared" si="44"/>
        <v>2858519</v>
      </c>
      <c r="BH110" s="8">
        <f t="shared" ref="BH110:BH116" si="56">+P110+R110+T110+V110+X110+Z110+AB110+AF110+AJ110+AL110+AN110+AP110+AR110+AT110+AV110+N110</f>
        <v>1728169</v>
      </c>
      <c r="BI110" s="8">
        <f t="shared" si="35"/>
        <v>3293</v>
      </c>
      <c r="BJ110" s="8">
        <f t="shared" si="45"/>
        <v>1731462</v>
      </c>
      <c r="BK110" s="83">
        <f t="shared" si="46"/>
        <v>2858519</v>
      </c>
      <c r="BL110" s="75"/>
      <c r="BM110" s="75">
        <f t="shared" si="36"/>
        <v>1728169</v>
      </c>
      <c r="BN110" s="75"/>
      <c r="BO110" s="159">
        <f t="shared" si="37"/>
        <v>3293</v>
      </c>
      <c r="BP110" s="159">
        <f t="shared" si="47"/>
        <v>2858519</v>
      </c>
      <c r="BQ110" s="8">
        <f t="shared" si="48"/>
        <v>1728169</v>
      </c>
      <c r="BR110" s="8">
        <f t="shared" si="48"/>
        <v>3293</v>
      </c>
      <c r="BS110" s="8">
        <f t="shared" si="49"/>
        <v>1731462</v>
      </c>
      <c r="BT110" s="8">
        <f t="shared" si="50"/>
        <v>2858519</v>
      </c>
    </row>
    <row r="111" spans="1:72" x14ac:dyDescent="0.25">
      <c r="B111" s="35" t="s">
        <v>130</v>
      </c>
      <c r="C111" s="75">
        <f t="shared" ref="C111:L111" si="57">SUM(C49:C52)</f>
        <v>0</v>
      </c>
      <c r="D111" s="75">
        <f t="shared" si="57"/>
        <v>23600</v>
      </c>
      <c r="E111" s="75">
        <f t="shared" si="57"/>
        <v>0</v>
      </c>
      <c r="F111" s="75">
        <f t="shared" si="57"/>
        <v>0</v>
      </c>
      <c r="G111" s="75">
        <f t="shared" si="57"/>
        <v>0</v>
      </c>
      <c r="H111" s="75">
        <f t="shared" si="57"/>
        <v>0</v>
      </c>
      <c r="I111" s="75">
        <f t="shared" si="57"/>
        <v>0</v>
      </c>
      <c r="J111" s="75">
        <f t="shared" si="57"/>
        <v>0</v>
      </c>
      <c r="K111" s="75">
        <f t="shared" si="57"/>
        <v>0</v>
      </c>
      <c r="L111" s="75">
        <f t="shared" si="57"/>
        <v>23600</v>
      </c>
      <c r="M111" s="75"/>
      <c r="N111" s="75">
        <f>SUM(N49:N52)</f>
        <v>0</v>
      </c>
      <c r="O111" s="75">
        <f>SUM(O49:O52)</f>
        <v>0</v>
      </c>
      <c r="P111" s="75">
        <f>SUM(P49:P52)</f>
        <v>0</v>
      </c>
      <c r="Q111" s="75">
        <f>SUM(Q49:Q52)</f>
        <v>0</v>
      </c>
      <c r="R111" s="75">
        <f t="shared" ref="R111:Z111" si="58">SUM(R49:R52)</f>
        <v>9794</v>
      </c>
      <c r="S111" s="75">
        <f t="shared" si="58"/>
        <v>0</v>
      </c>
      <c r="T111" s="75">
        <f t="shared" si="58"/>
        <v>3214</v>
      </c>
      <c r="U111" s="75">
        <f t="shared" si="58"/>
        <v>0</v>
      </c>
      <c r="V111" s="75">
        <f t="shared" si="58"/>
        <v>0</v>
      </c>
      <c r="W111" s="75">
        <f t="shared" si="58"/>
        <v>0</v>
      </c>
      <c r="X111" s="75">
        <f t="shared" si="58"/>
        <v>150300</v>
      </c>
      <c r="Y111" s="75">
        <f t="shared" si="58"/>
        <v>0</v>
      </c>
      <c r="Z111" s="75">
        <f t="shared" si="58"/>
        <v>0</v>
      </c>
      <c r="AA111" s="75">
        <f>SUM(AA49:AA52)</f>
        <v>0</v>
      </c>
      <c r="AB111" s="75">
        <f t="shared" ref="AB111:AG111" si="59">SUM(AB49:AB52)</f>
        <v>0</v>
      </c>
      <c r="AC111" s="75">
        <f t="shared" si="59"/>
        <v>0</v>
      </c>
      <c r="AD111" s="75">
        <f t="shared" si="59"/>
        <v>0</v>
      </c>
      <c r="AE111" s="75">
        <f t="shared" si="59"/>
        <v>0</v>
      </c>
      <c r="AF111" s="75">
        <f t="shared" si="59"/>
        <v>0</v>
      </c>
      <c r="AG111" s="75">
        <f t="shared" si="59"/>
        <v>0</v>
      </c>
      <c r="AH111" s="75">
        <f>SUM(AH49:AH52)</f>
        <v>0</v>
      </c>
      <c r="AI111" s="75">
        <f t="shared" ref="AI111:AO111" si="60">SUM(AI49:AI52)</f>
        <v>0</v>
      </c>
      <c r="AJ111" s="75">
        <f t="shared" si="60"/>
        <v>12375</v>
      </c>
      <c r="AK111" s="75">
        <f t="shared" si="60"/>
        <v>0</v>
      </c>
      <c r="AL111" s="75">
        <f t="shared" si="60"/>
        <v>1556</v>
      </c>
      <c r="AM111" s="75">
        <f t="shared" si="60"/>
        <v>0</v>
      </c>
      <c r="AN111" s="75">
        <f t="shared" si="60"/>
        <v>8603</v>
      </c>
      <c r="AO111" s="75">
        <f t="shared" si="60"/>
        <v>0</v>
      </c>
      <c r="AP111" s="75">
        <f>SUM(AP49:AP52)</f>
        <v>0</v>
      </c>
      <c r="AQ111" s="75">
        <f t="shared" ref="AQ111:AZ111" si="61">SUM(AQ49:AQ52)</f>
        <v>0</v>
      </c>
      <c r="AR111" s="75">
        <f t="shared" si="61"/>
        <v>21600</v>
      </c>
      <c r="AS111" s="75">
        <f t="shared" si="61"/>
        <v>0</v>
      </c>
      <c r="AT111" s="75">
        <f t="shared" si="61"/>
        <v>12000</v>
      </c>
      <c r="AU111" s="75">
        <f t="shared" si="61"/>
        <v>0</v>
      </c>
      <c r="AV111" s="75">
        <f t="shared" si="61"/>
        <v>0</v>
      </c>
      <c r="AW111" s="75">
        <f t="shared" si="61"/>
        <v>0</v>
      </c>
      <c r="AX111" s="75">
        <f t="shared" si="61"/>
        <v>219442</v>
      </c>
      <c r="AY111" s="75"/>
      <c r="AZ111" s="75">
        <f t="shared" si="61"/>
        <v>265768</v>
      </c>
      <c r="BA111" s="75"/>
      <c r="BB111" s="75">
        <f t="shared" si="33"/>
        <v>508810</v>
      </c>
      <c r="BC111" s="7"/>
      <c r="BD111" s="128">
        <f t="shared" si="34"/>
        <v>0</v>
      </c>
      <c r="BE111" s="128">
        <f t="shared" si="43"/>
        <v>219442</v>
      </c>
      <c r="BF111" s="7"/>
      <c r="BG111" s="48">
        <f t="shared" si="44"/>
        <v>508810</v>
      </c>
      <c r="BH111" s="8">
        <f t="shared" si="56"/>
        <v>219442</v>
      </c>
      <c r="BI111" s="8">
        <f t="shared" si="35"/>
        <v>0</v>
      </c>
      <c r="BJ111" s="8">
        <f t="shared" si="45"/>
        <v>219442</v>
      </c>
      <c r="BK111" s="83">
        <f t="shared" si="46"/>
        <v>508810</v>
      </c>
      <c r="BL111" s="75"/>
      <c r="BM111" s="75">
        <f t="shared" si="36"/>
        <v>219442</v>
      </c>
      <c r="BN111" s="75"/>
      <c r="BO111" s="159">
        <f t="shared" si="37"/>
        <v>0</v>
      </c>
      <c r="BP111" s="159">
        <f t="shared" si="47"/>
        <v>508810</v>
      </c>
      <c r="BQ111" s="8">
        <f t="shared" si="48"/>
        <v>219442</v>
      </c>
      <c r="BR111" s="8">
        <f t="shared" si="48"/>
        <v>0</v>
      </c>
      <c r="BS111" s="8">
        <f t="shared" si="49"/>
        <v>219442</v>
      </c>
      <c r="BT111" s="8">
        <f t="shared" si="50"/>
        <v>508810</v>
      </c>
    </row>
    <row r="112" spans="1:72" x14ac:dyDescent="0.25">
      <c r="B112" s="35" t="s">
        <v>131</v>
      </c>
      <c r="C112" s="75">
        <f t="shared" ref="C112:L112" si="62">SUM(C53:C60)</f>
        <v>0</v>
      </c>
      <c r="D112" s="75">
        <f t="shared" si="62"/>
        <v>0</v>
      </c>
      <c r="E112" s="75">
        <f t="shared" si="62"/>
        <v>0</v>
      </c>
      <c r="F112" s="75">
        <f t="shared" si="62"/>
        <v>13788</v>
      </c>
      <c r="G112" s="75">
        <f t="shared" si="62"/>
        <v>0</v>
      </c>
      <c r="H112" s="75">
        <f t="shared" si="62"/>
        <v>0</v>
      </c>
      <c r="I112" s="75">
        <f t="shared" si="62"/>
        <v>0</v>
      </c>
      <c r="J112" s="75">
        <f t="shared" si="62"/>
        <v>0</v>
      </c>
      <c r="K112" s="75">
        <f t="shared" si="62"/>
        <v>0</v>
      </c>
      <c r="L112" s="75">
        <f t="shared" si="62"/>
        <v>13788</v>
      </c>
      <c r="M112" s="75"/>
      <c r="N112" s="75">
        <f>SUM(N53:N60)</f>
        <v>85224</v>
      </c>
      <c r="O112" s="75">
        <f>SUM(O53:O60)</f>
        <v>32256</v>
      </c>
      <c r="P112" s="75">
        <f>SUM(P53:P60)</f>
        <v>0</v>
      </c>
      <c r="Q112" s="75">
        <f>SUM(Q53:Q60)</f>
        <v>0</v>
      </c>
      <c r="R112" s="75">
        <f t="shared" ref="R112:Z112" si="63">SUM(R53:R60)</f>
        <v>20148</v>
      </c>
      <c r="S112" s="75">
        <f t="shared" si="63"/>
        <v>3936</v>
      </c>
      <c r="T112" s="75">
        <f t="shared" si="63"/>
        <v>6563</v>
      </c>
      <c r="U112" s="75">
        <f t="shared" si="63"/>
        <v>1386</v>
      </c>
      <c r="V112" s="75">
        <f t="shared" si="63"/>
        <v>0</v>
      </c>
      <c r="W112" s="75">
        <f t="shared" si="63"/>
        <v>0</v>
      </c>
      <c r="X112" s="75">
        <f t="shared" si="63"/>
        <v>0</v>
      </c>
      <c r="Y112" s="75">
        <f t="shared" si="63"/>
        <v>336</v>
      </c>
      <c r="Z112" s="75">
        <f t="shared" si="63"/>
        <v>0</v>
      </c>
      <c r="AA112" s="75">
        <f>SUM(AA53:AA60)</f>
        <v>0</v>
      </c>
      <c r="AB112" s="75">
        <f t="shared" ref="AB112:AG112" si="64">SUM(AB53:AB60)</f>
        <v>92832</v>
      </c>
      <c r="AC112" s="75">
        <f t="shared" si="64"/>
        <v>30024</v>
      </c>
      <c r="AD112" s="75">
        <f t="shared" si="64"/>
        <v>0</v>
      </c>
      <c r="AE112" s="75">
        <f t="shared" si="64"/>
        <v>0</v>
      </c>
      <c r="AF112" s="75">
        <f t="shared" si="64"/>
        <v>56340</v>
      </c>
      <c r="AG112" s="75">
        <f t="shared" si="64"/>
        <v>15876</v>
      </c>
      <c r="AH112" s="75">
        <f>SUM(AH53:AH60)</f>
        <v>0</v>
      </c>
      <c r="AI112" s="75">
        <f t="shared" ref="AI112:AO112" si="65">SUM(AI53:AI60)</f>
        <v>0</v>
      </c>
      <c r="AJ112" s="75">
        <f t="shared" si="65"/>
        <v>28140</v>
      </c>
      <c r="AK112" s="75">
        <f t="shared" si="65"/>
        <v>8928</v>
      </c>
      <c r="AL112" s="75">
        <f t="shared" si="65"/>
        <v>3372</v>
      </c>
      <c r="AM112" s="75">
        <f t="shared" si="65"/>
        <v>996</v>
      </c>
      <c r="AN112" s="75">
        <f t="shared" si="65"/>
        <v>16860</v>
      </c>
      <c r="AO112" s="75">
        <f t="shared" si="65"/>
        <v>8808</v>
      </c>
      <c r="AP112" s="75">
        <f>SUM(AP53:AP60)</f>
        <v>0</v>
      </c>
      <c r="AQ112" s="75">
        <f t="shared" ref="AQ112:AZ112" si="66">SUM(AQ53:AQ60)</f>
        <v>3996</v>
      </c>
      <c r="AR112" s="75">
        <f t="shared" si="66"/>
        <v>0</v>
      </c>
      <c r="AS112" s="75">
        <f t="shared" si="66"/>
        <v>492</v>
      </c>
      <c r="AT112" s="75">
        <f t="shared" si="66"/>
        <v>1980</v>
      </c>
      <c r="AU112" s="75">
        <f t="shared" si="66"/>
        <v>588</v>
      </c>
      <c r="AV112" s="75">
        <f t="shared" si="66"/>
        <v>21504</v>
      </c>
      <c r="AW112" s="75">
        <f t="shared" si="66"/>
        <v>12180</v>
      </c>
      <c r="AX112" s="75">
        <f t="shared" si="66"/>
        <v>452765</v>
      </c>
      <c r="AY112" s="75"/>
      <c r="AZ112" s="75">
        <f t="shared" si="66"/>
        <v>1338961</v>
      </c>
      <c r="BA112" s="75"/>
      <c r="BB112" s="75">
        <f t="shared" si="33"/>
        <v>1805514</v>
      </c>
      <c r="BC112" s="7"/>
      <c r="BD112" s="128">
        <f t="shared" si="34"/>
        <v>119802</v>
      </c>
      <c r="BE112" s="128">
        <f t="shared" si="43"/>
        <v>332963</v>
      </c>
      <c r="BF112" s="7"/>
      <c r="BG112" s="48">
        <f t="shared" si="44"/>
        <v>1685712</v>
      </c>
      <c r="BH112" s="8">
        <f t="shared" si="56"/>
        <v>332963</v>
      </c>
      <c r="BI112" s="8">
        <f t="shared" si="35"/>
        <v>119802</v>
      </c>
      <c r="BJ112" s="8">
        <f t="shared" si="45"/>
        <v>452765</v>
      </c>
      <c r="BK112" s="83">
        <f t="shared" si="46"/>
        <v>1685712</v>
      </c>
      <c r="BL112" s="75"/>
      <c r="BM112" s="75">
        <f t="shared" si="36"/>
        <v>332963</v>
      </c>
      <c r="BN112" s="75"/>
      <c r="BO112" s="159">
        <f t="shared" si="37"/>
        <v>119802</v>
      </c>
      <c r="BP112" s="159">
        <f t="shared" si="47"/>
        <v>1685712</v>
      </c>
      <c r="BQ112" s="8">
        <f t="shared" si="48"/>
        <v>332963</v>
      </c>
      <c r="BR112" s="8">
        <f t="shared" si="48"/>
        <v>119802</v>
      </c>
      <c r="BS112" s="8">
        <f t="shared" si="49"/>
        <v>452765</v>
      </c>
      <c r="BT112" s="8">
        <f t="shared" si="50"/>
        <v>1685712</v>
      </c>
    </row>
    <row r="113" spans="2:72" x14ac:dyDescent="0.25">
      <c r="B113" s="35" t="s">
        <v>90</v>
      </c>
      <c r="C113" s="75">
        <f t="shared" ref="C113:L113" si="67">SUM(C61)</f>
        <v>0</v>
      </c>
      <c r="D113" s="75">
        <f>SUM(D61)</f>
        <v>0</v>
      </c>
      <c r="E113" s="75">
        <f t="shared" si="67"/>
        <v>0</v>
      </c>
      <c r="F113" s="75">
        <f t="shared" si="67"/>
        <v>0</v>
      </c>
      <c r="G113" s="75">
        <f t="shared" si="67"/>
        <v>0</v>
      </c>
      <c r="H113" s="75">
        <f t="shared" si="67"/>
        <v>0</v>
      </c>
      <c r="I113" s="75">
        <f t="shared" si="67"/>
        <v>0</v>
      </c>
      <c r="J113" s="75">
        <f t="shared" si="67"/>
        <v>0</v>
      </c>
      <c r="K113" s="75">
        <f>SUM(K61)</f>
        <v>0</v>
      </c>
      <c r="L113" s="75">
        <f t="shared" si="67"/>
        <v>0</v>
      </c>
      <c r="M113" s="75"/>
      <c r="N113" s="75">
        <f>SUM(N61)</f>
        <v>72000</v>
      </c>
      <c r="O113" s="75">
        <f>SUM(O61)</f>
        <v>0</v>
      </c>
      <c r="P113" s="75">
        <f>SUM(P61)</f>
        <v>0</v>
      </c>
      <c r="Q113" s="75">
        <f>SUM(Q61)</f>
        <v>0</v>
      </c>
      <c r="R113" s="75">
        <f t="shared" ref="R113:Z113" si="68">SUM(R61)</f>
        <v>105448</v>
      </c>
      <c r="S113" s="75">
        <f t="shared" si="68"/>
        <v>0</v>
      </c>
      <c r="T113" s="75">
        <f t="shared" si="68"/>
        <v>196886</v>
      </c>
      <c r="U113" s="75">
        <f t="shared" si="68"/>
        <v>0</v>
      </c>
      <c r="V113" s="75">
        <f t="shared" si="68"/>
        <v>348980</v>
      </c>
      <c r="W113" s="75">
        <f t="shared" si="68"/>
        <v>0</v>
      </c>
      <c r="X113" s="75">
        <f t="shared" si="68"/>
        <v>0</v>
      </c>
      <c r="Y113" s="75">
        <f t="shared" si="68"/>
        <v>0</v>
      </c>
      <c r="Z113" s="75">
        <f t="shared" si="68"/>
        <v>0</v>
      </c>
      <c r="AA113" s="75">
        <f>SUM(AA61)</f>
        <v>0</v>
      </c>
      <c r="AB113" s="75">
        <f t="shared" ref="AB113:AG113" si="69">SUM(AB61)</f>
        <v>0</v>
      </c>
      <c r="AC113" s="75">
        <f t="shared" si="69"/>
        <v>0</v>
      </c>
      <c r="AD113" s="75">
        <f t="shared" si="69"/>
        <v>0</v>
      </c>
      <c r="AE113" s="75">
        <f t="shared" si="69"/>
        <v>0</v>
      </c>
      <c r="AF113" s="75">
        <f t="shared" si="69"/>
        <v>0</v>
      </c>
      <c r="AG113" s="75">
        <f t="shared" si="69"/>
        <v>0</v>
      </c>
      <c r="AH113" s="75">
        <f>SUM(AH61)</f>
        <v>0</v>
      </c>
      <c r="AI113" s="75">
        <f t="shared" ref="AI113:AO113" si="70">SUM(AI61)</f>
        <v>0</v>
      </c>
      <c r="AJ113" s="75">
        <f t="shared" si="70"/>
        <v>0</v>
      </c>
      <c r="AK113" s="75">
        <f t="shared" si="70"/>
        <v>0</v>
      </c>
      <c r="AL113" s="75">
        <f t="shared" si="70"/>
        <v>24000</v>
      </c>
      <c r="AM113" s="75">
        <f t="shared" si="70"/>
        <v>0</v>
      </c>
      <c r="AN113" s="75">
        <f t="shared" si="70"/>
        <v>1200</v>
      </c>
      <c r="AO113" s="75">
        <f t="shared" si="70"/>
        <v>0</v>
      </c>
      <c r="AP113" s="75">
        <f>SUM(AP61)</f>
        <v>75000</v>
      </c>
      <c r="AQ113" s="75">
        <f t="shared" ref="AQ113:AZ113" si="71">SUM(AQ61)</f>
        <v>0</v>
      </c>
      <c r="AR113" s="75">
        <f t="shared" si="71"/>
        <v>0</v>
      </c>
      <c r="AS113" s="75">
        <f t="shared" si="71"/>
        <v>0</v>
      </c>
      <c r="AT113" s="75">
        <f t="shared" si="71"/>
        <v>0</v>
      </c>
      <c r="AU113" s="75">
        <f t="shared" si="71"/>
        <v>0</v>
      </c>
      <c r="AV113" s="75">
        <f t="shared" si="71"/>
        <v>0</v>
      </c>
      <c r="AW113" s="75">
        <f t="shared" si="71"/>
        <v>0</v>
      </c>
      <c r="AX113" s="75">
        <f t="shared" si="71"/>
        <v>823514</v>
      </c>
      <c r="AY113" s="75"/>
      <c r="AZ113" s="75">
        <f t="shared" si="71"/>
        <v>10380143</v>
      </c>
      <c r="BA113" s="75"/>
      <c r="BB113" s="75">
        <f t="shared" si="33"/>
        <v>11203657</v>
      </c>
      <c r="BC113" s="7"/>
      <c r="BD113" s="128">
        <f t="shared" si="34"/>
        <v>0</v>
      </c>
      <c r="BE113" s="128">
        <f t="shared" si="43"/>
        <v>823514</v>
      </c>
      <c r="BF113" s="7"/>
      <c r="BG113" s="48">
        <f t="shared" si="44"/>
        <v>11203657</v>
      </c>
      <c r="BH113" s="8">
        <f t="shared" si="56"/>
        <v>823514</v>
      </c>
      <c r="BI113" s="8">
        <f t="shared" si="35"/>
        <v>0</v>
      </c>
      <c r="BJ113" s="8">
        <f t="shared" si="45"/>
        <v>823514</v>
      </c>
      <c r="BK113" s="83">
        <f t="shared" si="46"/>
        <v>11203657</v>
      </c>
      <c r="BL113" s="75"/>
      <c r="BM113" s="75">
        <f t="shared" si="36"/>
        <v>823514</v>
      </c>
      <c r="BN113" s="75"/>
      <c r="BO113" s="159">
        <f t="shared" si="37"/>
        <v>0</v>
      </c>
      <c r="BP113" s="159">
        <f t="shared" si="47"/>
        <v>11203657</v>
      </c>
      <c r="BQ113" s="8">
        <f t="shared" si="48"/>
        <v>823514</v>
      </c>
      <c r="BR113" s="8">
        <f t="shared" si="48"/>
        <v>0</v>
      </c>
      <c r="BS113" s="8">
        <f t="shared" si="49"/>
        <v>823514</v>
      </c>
      <c r="BT113" s="8">
        <f t="shared" si="50"/>
        <v>11203657</v>
      </c>
    </row>
    <row r="114" spans="2:72" x14ac:dyDescent="0.25">
      <c r="B114" s="35" t="s">
        <v>132</v>
      </c>
      <c r="C114" s="75">
        <f t="shared" ref="C114:L114" si="72">SUM(C62:C69)</f>
        <v>65540</v>
      </c>
      <c r="D114" s="75">
        <f t="shared" si="72"/>
        <v>1750</v>
      </c>
      <c r="E114" s="75">
        <f t="shared" si="72"/>
        <v>31100</v>
      </c>
      <c r="F114" s="75">
        <f t="shared" si="72"/>
        <v>30689</v>
      </c>
      <c r="G114" s="75">
        <f t="shared" si="72"/>
        <v>27960</v>
      </c>
      <c r="H114" s="75">
        <f t="shared" si="72"/>
        <v>16965</v>
      </c>
      <c r="I114" s="75">
        <f t="shared" si="72"/>
        <v>0</v>
      </c>
      <c r="J114" s="75">
        <f t="shared" si="72"/>
        <v>29800</v>
      </c>
      <c r="K114" s="75">
        <f t="shared" si="72"/>
        <v>8200</v>
      </c>
      <c r="L114" s="75">
        <f t="shared" si="72"/>
        <v>212004</v>
      </c>
      <c r="M114" s="75"/>
      <c r="N114" s="75">
        <f>SUM(N62:N69)</f>
        <v>0</v>
      </c>
      <c r="O114" s="75">
        <f>SUM(O62:O69)</f>
        <v>0</v>
      </c>
      <c r="P114" s="75">
        <f>SUM(P62:P69)</f>
        <v>0</v>
      </c>
      <c r="Q114" s="75">
        <f>SUM(Q62:Q69)</f>
        <v>0</v>
      </c>
      <c r="R114" s="75">
        <f t="shared" ref="R114:Z114" si="73">SUM(R62:R69)</f>
        <v>6000</v>
      </c>
      <c r="S114" s="75">
        <f t="shared" si="73"/>
        <v>0</v>
      </c>
      <c r="T114" s="75">
        <f t="shared" si="73"/>
        <v>1800</v>
      </c>
      <c r="U114" s="75">
        <f t="shared" si="73"/>
        <v>0</v>
      </c>
      <c r="V114" s="75">
        <f t="shared" si="73"/>
        <v>0</v>
      </c>
      <c r="W114" s="75">
        <f t="shared" si="73"/>
        <v>0</v>
      </c>
      <c r="X114" s="75">
        <f t="shared" si="73"/>
        <v>0</v>
      </c>
      <c r="Y114" s="75">
        <f t="shared" si="73"/>
        <v>19035</v>
      </c>
      <c r="Z114" s="75">
        <f t="shared" si="73"/>
        <v>12440</v>
      </c>
      <c r="AA114" s="75">
        <f>SUM(AA62:AA69)</f>
        <v>0</v>
      </c>
      <c r="AB114" s="75">
        <f t="shared" ref="AB114:AG114" si="74">SUM(AB62:AB69)</f>
        <v>0</v>
      </c>
      <c r="AC114" s="75">
        <f t="shared" si="74"/>
        <v>0</v>
      </c>
      <c r="AD114" s="75">
        <f t="shared" si="74"/>
        <v>0</v>
      </c>
      <c r="AE114" s="75">
        <f t="shared" si="74"/>
        <v>0</v>
      </c>
      <c r="AF114" s="75">
        <f t="shared" si="74"/>
        <v>0</v>
      </c>
      <c r="AG114" s="75">
        <f t="shared" si="74"/>
        <v>0</v>
      </c>
      <c r="AH114" s="75">
        <f>SUM(AH62:AH69)</f>
        <v>0</v>
      </c>
      <c r="AI114" s="75">
        <f t="shared" ref="AI114:AO114" si="75">SUM(AI62:AI69)</f>
        <v>0</v>
      </c>
      <c r="AJ114" s="75">
        <f t="shared" si="75"/>
        <v>0</v>
      </c>
      <c r="AK114" s="75">
        <f t="shared" si="75"/>
        <v>0</v>
      </c>
      <c r="AL114" s="75">
        <f t="shared" si="75"/>
        <v>0</v>
      </c>
      <c r="AM114" s="75">
        <f t="shared" si="75"/>
        <v>0</v>
      </c>
      <c r="AN114" s="75">
        <f t="shared" si="75"/>
        <v>0</v>
      </c>
      <c r="AO114" s="75">
        <f t="shared" si="75"/>
        <v>0</v>
      </c>
      <c r="AP114" s="75">
        <f>SUM(AP62:AP69)</f>
        <v>0</v>
      </c>
      <c r="AQ114" s="75">
        <f t="shared" ref="AQ114:AZ114" si="76">SUM(AQ62:AQ69)</f>
        <v>0</v>
      </c>
      <c r="AR114" s="75">
        <f t="shared" si="76"/>
        <v>0</v>
      </c>
      <c r="AS114" s="75">
        <f t="shared" si="76"/>
        <v>4200</v>
      </c>
      <c r="AT114" s="75">
        <f t="shared" si="76"/>
        <v>0</v>
      </c>
      <c r="AU114" s="75">
        <f t="shared" si="76"/>
        <v>16200</v>
      </c>
      <c r="AV114" s="75">
        <f t="shared" si="76"/>
        <v>60</v>
      </c>
      <c r="AW114" s="75">
        <f t="shared" si="76"/>
        <v>15000</v>
      </c>
      <c r="AX114" s="75">
        <f t="shared" si="76"/>
        <v>74735</v>
      </c>
      <c r="AY114" s="75"/>
      <c r="AZ114" s="75">
        <f t="shared" si="76"/>
        <v>9300</v>
      </c>
      <c r="BA114" s="75"/>
      <c r="BB114" s="75">
        <f t="shared" si="33"/>
        <v>296039</v>
      </c>
      <c r="BC114" s="7"/>
      <c r="BD114" s="128">
        <f t="shared" si="34"/>
        <v>54435</v>
      </c>
      <c r="BE114" s="128">
        <f t="shared" si="43"/>
        <v>20300</v>
      </c>
      <c r="BF114" s="7"/>
      <c r="BG114" s="48">
        <f t="shared" si="44"/>
        <v>241604</v>
      </c>
      <c r="BH114" s="8">
        <f t="shared" si="56"/>
        <v>20300</v>
      </c>
      <c r="BI114" s="8">
        <f t="shared" si="35"/>
        <v>54435</v>
      </c>
      <c r="BJ114" s="8">
        <f t="shared" si="45"/>
        <v>74735</v>
      </c>
      <c r="BK114" s="83">
        <f t="shared" si="46"/>
        <v>241604</v>
      </c>
      <c r="BL114" s="75"/>
      <c r="BM114" s="75">
        <f t="shared" si="36"/>
        <v>20300</v>
      </c>
      <c r="BN114" s="75"/>
      <c r="BO114" s="159">
        <f t="shared" si="37"/>
        <v>54435</v>
      </c>
      <c r="BP114" s="159">
        <f t="shared" si="47"/>
        <v>241604</v>
      </c>
      <c r="BQ114" s="8">
        <f t="shared" si="48"/>
        <v>20300</v>
      </c>
      <c r="BR114" s="8">
        <f t="shared" si="48"/>
        <v>54435</v>
      </c>
      <c r="BS114" s="8">
        <f t="shared" si="49"/>
        <v>74735</v>
      </c>
      <c r="BT114" s="8">
        <f t="shared" si="50"/>
        <v>241604</v>
      </c>
    </row>
    <row r="115" spans="2:72" x14ac:dyDescent="0.25">
      <c r="B115" s="35" t="s">
        <v>133</v>
      </c>
      <c r="C115" s="75">
        <f t="shared" ref="C115:L115" si="77">SUM(C70)</f>
        <v>0</v>
      </c>
      <c r="D115" s="75">
        <f>SUM(D70)</f>
        <v>127800</v>
      </c>
      <c r="E115" s="75">
        <f t="shared" si="77"/>
        <v>0</v>
      </c>
      <c r="F115" s="75">
        <f t="shared" si="77"/>
        <v>0</v>
      </c>
      <c r="G115" s="75">
        <f t="shared" si="77"/>
        <v>0</v>
      </c>
      <c r="H115" s="75">
        <f t="shared" si="77"/>
        <v>3600</v>
      </c>
      <c r="I115" s="75">
        <f t="shared" si="77"/>
        <v>0</v>
      </c>
      <c r="J115" s="75">
        <f t="shared" si="77"/>
        <v>0</v>
      </c>
      <c r="K115" s="75">
        <f>SUM(K70)</f>
        <v>0</v>
      </c>
      <c r="L115" s="75">
        <f t="shared" si="77"/>
        <v>131400</v>
      </c>
      <c r="M115" s="75"/>
      <c r="N115" s="75">
        <f>SUM(N70)</f>
        <v>0</v>
      </c>
      <c r="O115" s="75">
        <f>SUM(O70)</f>
        <v>0</v>
      </c>
      <c r="P115" s="75">
        <f>SUM(P70)</f>
        <v>0</v>
      </c>
      <c r="Q115" s="75">
        <f>SUM(Q70)</f>
        <v>0</v>
      </c>
      <c r="R115" s="75">
        <f t="shared" ref="R115:Z115" si="78">SUM(R70)</f>
        <v>0</v>
      </c>
      <c r="S115" s="75">
        <f t="shared" si="78"/>
        <v>0</v>
      </c>
      <c r="T115" s="75">
        <f t="shared" si="78"/>
        <v>0</v>
      </c>
      <c r="U115" s="75">
        <f t="shared" si="78"/>
        <v>0</v>
      </c>
      <c r="V115" s="75">
        <f t="shared" si="78"/>
        <v>0</v>
      </c>
      <c r="W115" s="75">
        <f t="shared" si="78"/>
        <v>0</v>
      </c>
      <c r="X115" s="75">
        <f t="shared" si="78"/>
        <v>2472</v>
      </c>
      <c r="Y115" s="75">
        <f t="shared" si="78"/>
        <v>0</v>
      </c>
      <c r="Z115" s="75">
        <f t="shared" si="78"/>
        <v>0</v>
      </c>
      <c r="AA115" s="75">
        <f>SUM(AA70)</f>
        <v>0</v>
      </c>
      <c r="AB115" s="75">
        <f t="shared" ref="AB115:AG115" si="79">SUM(AB70)</f>
        <v>0</v>
      </c>
      <c r="AC115" s="75">
        <f t="shared" si="79"/>
        <v>0</v>
      </c>
      <c r="AD115" s="75">
        <f t="shared" si="79"/>
        <v>0</v>
      </c>
      <c r="AE115" s="75">
        <f t="shared" si="79"/>
        <v>0</v>
      </c>
      <c r="AF115" s="75">
        <f t="shared" si="79"/>
        <v>0</v>
      </c>
      <c r="AG115" s="75">
        <f t="shared" si="79"/>
        <v>0</v>
      </c>
      <c r="AH115" s="75">
        <f>SUM(AH70)</f>
        <v>0</v>
      </c>
      <c r="AI115" s="75">
        <f t="shared" ref="AI115:AO115" si="80">SUM(AI70)</f>
        <v>0</v>
      </c>
      <c r="AJ115" s="75">
        <f t="shared" si="80"/>
        <v>0</v>
      </c>
      <c r="AK115" s="75">
        <f t="shared" si="80"/>
        <v>0</v>
      </c>
      <c r="AL115" s="75">
        <f t="shared" si="80"/>
        <v>0</v>
      </c>
      <c r="AM115" s="75">
        <f t="shared" si="80"/>
        <v>0</v>
      </c>
      <c r="AN115" s="75">
        <f t="shared" si="80"/>
        <v>0</v>
      </c>
      <c r="AO115" s="75">
        <f t="shared" si="80"/>
        <v>0</v>
      </c>
      <c r="AP115" s="75">
        <f>SUM(AP70)</f>
        <v>100516</v>
      </c>
      <c r="AQ115" s="75">
        <f t="shared" ref="AQ115:AZ115" si="81">SUM(AQ70)</f>
        <v>0</v>
      </c>
      <c r="AR115" s="75">
        <f t="shared" si="81"/>
        <v>1680</v>
      </c>
      <c r="AS115" s="75">
        <f t="shared" si="81"/>
        <v>0</v>
      </c>
      <c r="AT115" s="75">
        <f t="shared" si="81"/>
        <v>0</v>
      </c>
      <c r="AU115" s="75">
        <f t="shared" si="81"/>
        <v>0</v>
      </c>
      <c r="AV115" s="75">
        <f t="shared" si="81"/>
        <v>0</v>
      </c>
      <c r="AW115" s="75">
        <f t="shared" si="81"/>
        <v>0</v>
      </c>
      <c r="AX115" s="75">
        <f t="shared" si="81"/>
        <v>104668</v>
      </c>
      <c r="AY115" s="75"/>
      <c r="AZ115" s="75">
        <f t="shared" si="81"/>
        <v>2400</v>
      </c>
      <c r="BA115" s="75"/>
      <c r="BB115" s="75">
        <f t="shared" si="33"/>
        <v>238468</v>
      </c>
      <c r="BC115" s="7"/>
      <c r="BD115" s="128">
        <f t="shared" si="34"/>
        <v>0</v>
      </c>
      <c r="BE115" s="128">
        <f t="shared" si="43"/>
        <v>104668</v>
      </c>
      <c r="BF115" s="7"/>
      <c r="BG115" s="48">
        <f t="shared" si="44"/>
        <v>238468</v>
      </c>
      <c r="BH115" s="8">
        <f t="shared" si="56"/>
        <v>104668</v>
      </c>
      <c r="BI115" s="8">
        <f t="shared" si="35"/>
        <v>0</v>
      </c>
      <c r="BJ115" s="8">
        <f t="shared" si="45"/>
        <v>104668</v>
      </c>
      <c r="BK115" s="83">
        <f t="shared" si="46"/>
        <v>238468</v>
      </c>
      <c r="BL115" s="75"/>
      <c r="BM115" s="75">
        <f t="shared" si="36"/>
        <v>104668</v>
      </c>
      <c r="BN115" s="75"/>
      <c r="BO115" s="159">
        <f t="shared" si="37"/>
        <v>0</v>
      </c>
      <c r="BP115" s="159">
        <f t="shared" si="47"/>
        <v>238468</v>
      </c>
      <c r="BQ115" s="8">
        <f t="shared" si="48"/>
        <v>104668</v>
      </c>
      <c r="BR115" s="8">
        <f t="shared" si="48"/>
        <v>0</v>
      </c>
      <c r="BS115" s="8">
        <f t="shared" si="49"/>
        <v>104668</v>
      </c>
      <c r="BT115" s="8">
        <f t="shared" si="50"/>
        <v>238468</v>
      </c>
    </row>
    <row r="116" spans="2:72" x14ac:dyDescent="0.25">
      <c r="B116" s="35" t="s">
        <v>134</v>
      </c>
      <c r="C116" s="75">
        <f t="shared" ref="C116:L116" si="82">SUM(C71:C78)</f>
        <v>0</v>
      </c>
      <c r="D116" s="75">
        <f t="shared" si="82"/>
        <v>70000</v>
      </c>
      <c r="E116" s="75">
        <f t="shared" si="82"/>
        <v>0</v>
      </c>
      <c r="F116" s="75">
        <f t="shared" si="82"/>
        <v>0</v>
      </c>
      <c r="G116" s="75">
        <f t="shared" si="82"/>
        <v>0</v>
      </c>
      <c r="H116" s="75">
        <f t="shared" si="82"/>
        <v>0</v>
      </c>
      <c r="I116" s="75">
        <f t="shared" si="82"/>
        <v>0</v>
      </c>
      <c r="J116" s="75">
        <f t="shared" si="82"/>
        <v>0</v>
      </c>
      <c r="K116" s="75">
        <f t="shared" si="82"/>
        <v>0</v>
      </c>
      <c r="L116" s="75">
        <f t="shared" si="82"/>
        <v>70000</v>
      </c>
      <c r="M116" s="75"/>
      <c r="N116" s="75">
        <f>SUM(N71:N78)</f>
        <v>0</v>
      </c>
      <c r="O116" s="75">
        <f>SUM(O71:O78)</f>
        <v>0</v>
      </c>
      <c r="P116" s="75">
        <f>SUM(P71:P78)</f>
        <v>0</v>
      </c>
      <c r="Q116" s="75">
        <f>SUM(Q71:Q78)</f>
        <v>0</v>
      </c>
      <c r="R116" s="75">
        <f t="shared" ref="R116:Z116" si="83">SUM(R71:R78)</f>
        <v>0</v>
      </c>
      <c r="S116" s="75">
        <f t="shared" si="83"/>
        <v>0</v>
      </c>
      <c r="T116" s="75">
        <f t="shared" si="83"/>
        <v>0</v>
      </c>
      <c r="U116" s="75">
        <f t="shared" si="83"/>
        <v>0</v>
      </c>
      <c r="V116" s="75">
        <f t="shared" si="83"/>
        <v>0</v>
      </c>
      <c r="W116" s="75">
        <f t="shared" si="83"/>
        <v>0</v>
      </c>
      <c r="X116" s="75">
        <f t="shared" si="83"/>
        <v>1382069</v>
      </c>
      <c r="Y116" s="75">
        <f t="shared" si="83"/>
        <v>0</v>
      </c>
      <c r="Z116" s="75">
        <f t="shared" si="83"/>
        <v>0</v>
      </c>
      <c r="AA116" s="75">
        <f>SUM(AA71:AA78)</f>
        <v>0</v>
      </c>
      <c r="AB116" s="75">
        <f t="shared" ref="AB116:AG116" si="84">SUM(AB71:AB78)</f>
        <v>0</v>
      </c>
      <c r="AC116" s="75">
        <f t="shared" si="84"/>
        <v>0</v>
      </c>
      <c r="AD116" s="75">
        <f t="shared" si="84"/>
        <v>0</v>
      </c>
      <c r="AE116" s="75">
        <f t="shared" si="84"/>
        <v>0</v>
      </c>
      <c r="AF116" s="75">
        <f t="shared" si="84"/>
        <v>0</v>
      </c>
      <c r="AG116" s="75">
        <f t="shared" si="84"/>
        <v>0</v>
      </c>
      <c r="AH116" s="75">
        <f>SUM(AH71:AH78)</f>
        <v>0</v>
      </c>
      <c r="AI116" s="75">
        <f t="shared" ref="AI116:AO116" si="85">SUM(AI71:AI78)</f>
        <v>0</v>
      </c>
      <c r="AJ116" s="75">
        <f t="shared" si="85"/>
        <v>0</v>
      </c>
      <c r="AK116" s="75">
        <f t="shared" si="85"/>
        <v>0</v>
      </c>
      <c r="AL116" s="75">
        <f t="shared" si="85"/>
        <v>0</v>
      </c>
      <c r="AM116" s="75">
        <f t="shared" si="85"/>
        <v>0</v>
      </c>
      <c r="AN116" s="75">
        <f t="shared" si="85"/>
        <v>0</v>
      </c>
      <c r="AO116" s="75">
        <f t="shared" si="85"/>
        <v>0</v>
      </c>
      <c r="AP116" s="75">
        <f>SUM(AP71:AP78)</f>
        <v>0</v>
      </c>
      <c r="AQ116" s="75">
        <f t="shared" ref="AQ116:AX116" si="86">SUM(AQ71:AQ78)</f>
        <v>0</v>
      </c>
      <c r="AR116" s="75">
        <f t="shared" si="86"/>
        <v>0</v>
      </c>
      <c r="AS116" s="75">
        <f t="shared" si="86"/>
        <v>0</v>
      </c>
      <c r="AT116" s="75">
        <f t="shared" si="86"/>
        <v>0</v>
      </c>
      <c r="AU116" s="75">
        <f t="shared" si="86"/>
        <v>0</v>
      </c>
      <c r="AV116" s="75">
        <f t="shared" si="86"/>
        <v>0</v>
      </c>
      <c r="AW116" s="75">
        <f t="shared" si="86"/>
        <v>0</v>
      </c>
      <c r="AX116" s="75">
        <f t="shared" si="86"/>
        <v>1382069</v>
      </c>
      <c r="AY116" s="75"/>
      <c r="AZ116" s="75">
        <f>SUM(AZ71:AZ78)</f>
        <v>9037306</v>
      </c>
      <c r="BA116" s="75"/>
      <c r="BB116" s="75">
        <f t="shared" si="33"/>
        <v>10489375</v>
      </c>
      <c r="BC116" s="7"/>
      <c r="BD116" s="128">
        <f t="shared" si="34"/>
        <v>0</v>
      </c>
      <c r="BE116" s="128">
        <f t="shared" si="43"/>
        <v>1382069</v>
      </c>
      <c r="BF116" s="7"/>
      <c r="BG116" s="48">
        <f t="shared" si="44"/>
        <v>10489375</v>
      </c>
      <c r="BH116" s="8">
        <f t="shared" si="56"/>
        <v>1382069</v>
      </c>
      <c r="BI116" s="8">
        <f t="shared" si="35"/>
        <v>0</v>
      </c>
      <c r="BJ116" s="8">
        <f t="shared" si="45"/>
        <v>1382069</v>
      </c>
      <c r="BK116" s="83">
        <f t="shared" si="46"/>
        <v>10489375</v>
      </c>
      <c r="BL116" s="75"/>
      <c r="BM116" s="75">
        <f t="shared" si="36"/>
        <v>1382069</v>
      </c>
      <c r="BN116" s="75"/>
      <c r="BO116" s="159">
        <f t="shared" si="37"/>
        <v>0</v>
      </c>
      <c r="BP116" s="159">
        <f t="shared" si="47"/>
        <v>10489375</v>
      </c>
      <c r="BQ116" s="8">
        <f t="shared" si="48"/>
        <v>1382069</v>
      </c>
      <c r="BR116" s="8">
        <f t="shared" si="48"/>
        <v>0</v>
      </c>
      <c r="BS116" s="8">
        <f t="shared" si="49"/>
        <v>1382069</v>
      </c>
      <c r="BT116" s="8">
        <f t="shared" si="50"/>
        <v>10489375</v>
      </c>
    </row>
    <row r="117" spans="2:72" x14ac:dyDescent="0.25">
      <c r="B117" s="35" t="s">
        <v>128</v>
      </c>
      <c r="C117" s="109">
        <f>SUM(C108:C116)</f>
        <v>761152</v>
      </c>
      <c r="D117" s="109">
        <f>SUM(D108:D116)</f>
        <v>440535</v>
      </c>
      <c r="E117" s="109">
        <f t="shared" ref="E117:BB117" si="87">SUM(E108:E116)</f>
        <v>1011418</v>
      </c>
      <c r="F117" s="109">
        <f t="shared" si="87"/>
        <v>1893150</v>
      </c>
      <c r="G117" s="109">
        <f t="shared" si="87"/>
        <v>1124114</v>
      </c>
      <c r="H117" s="109">
        <f t="shared" si="87"/>
        <v>860736</v>
      </c>
      <c r="I117" s="109">
        <f t="shared" si="87"/>
        <v>559768</v>
      </c>
      <c r="J117" s="109">
        <f t="shared" si="87"/>
        <v>205656</v>
      </c>
      <c r="K117" s="109">
        <f t="shared" si="87"/>
        <v>582707</v>
      </c>
      <c r="L117" s="109">
        <f t="shared" si="87"/>
        <v>7439236</v>
      </c>
      <c r="M117" s="75"/>
      <c r="N117" s="109">
        <f>SUM(N108:N116)</f>
        <v>424532</v>
      </c>
      <c r="O117" s="109">
        <f>SUM(O108:O116)</f>
        <v>1272514</v>
      </c>
      <c r="P117" s="109">
        <f>SUM(P108:P116)</f>
        <v>0</v>
      </c>
      <c r="Q117" s="109">
        <f>SUM(Q108:Q116)</f>
        <v>0</v>
      </c>
      <c r="R117" s="109">
        <f t="shared" ref="R117:Z117" si="88">SUM(R108:R116)</f>
        <v>174474</v>
      </c>
      <c r="S117" s="109">
        <f t="shared" si="88"/>
        <v>133460</v>
      </c>
      <c r="T117" s="109">
        <f t="shared" si="88"/>
        <v>210241</v>
      </c>
      <c r="U117" s="109">
        <f t="shared" si="88"/>
        <v>9904</v>
      </c>
      <c r="V117" s="109">
        <f t="shared" si="88"/>
        <v>348980</v>
      </c>
      <c r="W117" s="109">
        <f t="shared" si="88"/>
        <v>0</v>
      </c>
      <c r="X117" s="109">
        <f t="shared" si="88"/>
        <v>2274124</v>
      </c>
      <c r="Y117" s="109">
        <f t="shared" si="88"/>
        <v>662702</v>
      </c>
      <c r="Z117" s="109">
        <f t="shared" si="88"/>
        <v>394558</v>
      </c>
      <c r="AA117" s="109">
        <f t="shared" si="87"/>
        <v>0</v>
      </c>
      <c r="AB117" s="109">
        <f t="shared" si="87"/>
        <v>414062</v>
      </c>
      <c r="AC117" s="109">
        <f t="shared" si="87"/>
        <v>1400820</v>
      </c>
      <c r="AD117" s="109">
        <f t="shared" si="87"/>
        <v>0</v>
      </c>
      <c r="AE117" s="109">
        <f t="shared" si="87"/>
        <v>0</v>
      </c>
      <c r="AF117" s="109">
        <f t="shared" si="87"/>
        <v>240841</v>
      </c>
      <c r="AG117" s="109">
        <f t="shared" si="87"/>
        <v>893306</v>
      </c>
      <c r="AH117" s="109">
        <f t="shared" si="87"/>
        <v>0</v>
      </c>
      <c r="AI117" s="109">
        <f t="shared" si="87"/>
        <v>0</v>
      </c>
      <c r="AJ117" s="109">
        <f t="shared" si="87"/>
        <v>142260</v>
      </c>
      <c r="AK117" s="109">
        <f t="shared" si="87"/>
        <v>305120</v>
      </c>
      <c r="AL117" s="109">
        <f t="shared" si="87"/>
        <v>41201</v>
      </c>
      <c r="AM117" s="109">
        <f t="shared" si="87"/>
        <v>34016</v>
      </c>
      <c r="AN117" s="109">
        <f t="shared" si="87"/>
        <v>184250</v>
      </c>
      <c r="AO117" s="109">
        <f t="shared" si="87"/>
        <v>300401</v>
      </c>
      <c r="AP117" s="109">
        <f t="shared" si="87"/>
        <v>230463</v>
      </c>
      <c r="AQ117" s="109">
        <f t="shared" si="87"/>
        <v>137560</v>
      </c>
      <c r="AR117" s="109">
        <f t="shared" si="87"/>
        <v>132744</v>
      </c>
      <c r="AS117" s="109">
        <f t="shared" si="87"/>
        <v>584069</v>
      </c>
      <c r="AT117" s="109">
        <f t="shared" si="87"/>
        <v>35580</v>
      </c>
      <c r="AU117" s="109">
        <f t="shared" si="87"/>
        <v>1032011</v>
      </c>
      <c r="AV117" s="109">
        <f t="shared" si="87"/>
        <v>1003251</v>
      </c>
      <c r="AW117" s="109">
        <f t="shared" si="87"/>
        <v>1448420</v>
      </c>
      <c r="AX117" s="109">
        <f t="shared" si="87"/>
        <v>14465864</v>
      </c>
      <c r="AY117" s="75"/>
      <c r="AZ117" s="109">
        <f t="shared" si="87"/>
        <v>22828801</v>
      </c>
      <c r="BA117" s="75"/>
      <c r="BB117" s="109">
        <f t="shared" si="87"/>
        <v>44733901</v>
      </c>
      <c r="BC117" s="7"/>
      <c r="BD117" s="129">
        <f t="shared" si="34"/>
        <v>8214303</v>
      </c>
      <c r="BE117" s="129">
        <f>SUM(BE108:BE116)</f>
        <v>6251561</v>
      </c>
      <c r="BF117" s="7"/>
      <c r="BG117" s="49">
        <f>SUM(BG108:BG116)</f>
        <v>36519598</v>
      </c>
      <c r="BH117" s="8">
        <f>SUM(BH108:BH116)</f>
        <v>6251561</v>
      </c>
      <c r="BI117" s="8">
        <f>SUM(BI108:BI116)</f>
        <v>8214303</v>
      </c>
      <c r="BJ117" s="8">
        <f>SUM(BJ108:BJ116)</f>
        <v>14465864</v>
      </c>
      <c r="BK117" s="83">
        <f t="shared" si="46"/>
        <v>36519598</v>
      </c>
      <c r="BL117" s="109"/>
      <c r="BM117" s="109">
        <f>SUM(BM108:BM116)</f>
        <v>6251561</v>
      </c>
      <c r="BN117" s="109"/>
      <c r="BO117" s="160">
        <f t="shared" ref="BO117:BT117" si="89">SUM(BO108:BO116)</f>
        <v>8214303</v>
      </c>
      <c r="BP117" s="160">
        <f t="shared" si="89"/>
        <v>36519598</v>
      </c>
      <c r="BQ117" s="166">
        <f t="shared" si="89"/>
        <v>6251561</v>
      </c>
      <c r="BR117" s="166">
        <f t="shared" si="89"/>
        <v>8214303</v>
      </c>
      <c r="BS117" s="166">
        <f t="shared" si="89"/>
        <v>14465864</v>
      </c>
      <c r="BT117" s="166">
        <f t="shared" si="89"/>
        <v>36519598</v>
      </c>
    </row>
    <row r="118" spans="2:72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L118" s="7"/>
      <c r="BM118" s="7"/>
      <c r="BN118" s="7"/>
      <c r="BQ118" s="8"/>
    </row>
    <row r="119" spans="2:72" s="44" customFormat="1" ht="40.200000000000003" hidden="1" customHeight="1" x14ac:dyDescent="0.25">
      <c r="B119" s="50" t="s">
        <v>135</v>
      </c>
      <c r="C119" s="51" t="s">
        <v>136</v>
      </c>
      <c r="D119" s="52" t="s">
        <v>137</v>
      </c>
      <c r="E119" s="51" t="s">
        <v>138</v>
      </c>
      <c r="F119" s="52" t="s">
        <v>139</v>
      </c>
      <c r="G119" s="52" t="s">
        <v>140</v>
      </c>
      <c r="H119" s="52" t="s">
        <v>141</v>
      </c>
      <c r="I119" s="52" t="s">
        <v>142</v>
      </c>
      <c r="J119" s="52" t="s">
        <v>143</v>
      </c>
      <c r="K119" s="52" t="s">
        <v>144</v>
      </c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 t="s">
        <v>145</v>
      </c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3" t="s">
        <v>146</v>
      </c>
      <c r="BA119" s="54"/>
      <c r="BB119" s="54"/>
      <c r="BC119" s="54"/>
      <c r="BD119" s="130"/>
      <c r="BE119" s="130"/>
      <c r="BF119" s="54"/>
      <c r="BG119" s="38"/>
      <c r="BH119" s="38"/>
      <c r="BI119" s="38"/>
      <c r="BL119" s="51"/>
      <c r="BM119" s="51"/>
      <c r="BN119" s="155"/>
      <c r="BO119" s="151"/>
      <c r="BP119" s="151"/>
      <c r="BQ119" s="54"/>
    </row>
    <row r="120" spans="2:72" ht="40.200000000000003" hidden="1" customHeight="1" x14ac:dyDescent="0.25">
      <c r="B120" s="55"/>
      <c r="D120" s="54" t="s">
        <v>147</v>
      </c>
      <c r="E120" s="56"/>
      <c r="F120" s="57" t="s">
        <v>148</v>
      </c>
      <c r="G120" s="57" t="s">
        <v>149</v>
      </c>
      <c r="H120" s="57" t="s">
        <v>150</v>
      </c>
      <c r="I120" s="58"/>
      <c r="J120" s="58"/>
      <c r="K120" s="57" t="s">
        <v>151</v>
      </c>
      <c r="L120" s="59"/>
      <c r="M120" s="60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60" t="s">
        <v>152</v>
      </c>
      <c r="AZ120" s="61" t="s">
        <v>153</v>
      </c>
      <c r="BG120" s="38"/>
      <c r="BH120" s="38"/>
      <c r="BI120" s="38"/>
      <c r="BQ120" s="8"/>
    </row>
    <row r="121" spans="2:72" ht="40.200000000000003" hidden="1" customHeight="1" x14ac:dyDescent="0.25">
      <c r="B121" s="55"/>
      <c r="D121" s="56"/>
      <c r="E121" s="56"/>
      <c r="F121" s="57" t="s">
        <v>154</v>
      </c>
      <c r="G121" s="57" t="s">
        <v>155</v>
      </c>
      <c r="H121" s="57" t="s">
        <v>156</v>
      </c>
      <c r="I121" s="58"/>
      <c r="J121" s="58"/>
      <c r="K121" s="57" t="s">
        <v>157</v>
      </c>
      <c r="L121" s="59"/>
      <c r="M121" s="60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60" t="s">
        <v>158</v>
      </c>
      <c r="AZ121" s="61" t="s">
        <v>159</v>
      </c>
      <c r="BG121" s="38"/>
      <c r="BH121" s="38"/>
      <c r="BI121" s="38"/>
      <c r="BQ121" s="8"/>
    </row>
    <row r="122" spans="2:72" ht="40.200000000000003" hidden="1" customHeight="1" x14ac:dyDescent="0.25">
      <c r="B122" s="55"/>
      <c r="D122" s="56"/>
      <c r="E122" s="56"/>
      <c r="F122" s="57" t="s">
        <v>160</v>
      </c>
      <c r="G122" s="57" t="s">
        <v>161</v>
      </c>
      <c r="H122" s="57" t="s">
        <v>162</v>
      </c>
      <c r="I122" s="58"/>
      <c r="J122" s="58"/>
      <c r="K122" s="58"/>
      <c r="L122" s="59"/>
      <c r="M122" s="60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60" t="s">
        <v>163</v>
      </c>
      <c r="AZ122" s="61" t="s">
        <v>164</v>
      </c>
      <c r="BG122" s="38"/>
      <c r="BH122" s="38"/>
      <c r="BI122" s="38"/>
      <c r="BJ122" s="38"/>
      <c r="BK122" s="38"/>
      <c r="BQ122" s="8"/>
    </row>
    <row r="123" spans="2:72" ht="40.200000000000003" hidden="1" customHeight="1" x14ac:dyDescent="0.25">
      <c r="B123" s="55"/>
      <c r="D123" s="56"/>
      <c r="E123" s="56"/>
      <c r="F123" s="57" t="s">
        <v>165</v>
      </c>
      <c r="G123" s="57" t="s">
        <v>166</v>
      </c>
      <c r="H123" s="57" t="s">
        <v>167</v>
      </c>
      <c r="I123" s="58"/>
      <c r="J123" s="58"/>
      <c r="K123" s="58"/>
      <c r="L123" s="59"/>
      <c r="M123" s="60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60" t="s">
        <v>163</v>
      </c>
      <c r="AZ123" s="62"/>
      <c r="BJ123" s="38"/>
      <c r="BK123" s="38"/>
      <c r="BO123" s="152"/>
      <c r="BP123" s="152"/>
      <c r="BQ123" s="38"/>
    </row>
    <row r="124" spans="2:72" ht="40.200000000000003" hidden="1" customHeight="1" x14ac:dyDescent="0.25">
      <c r="B124" s="55"/>
      <c r="D124" s="56"/>
      <c r="E124" s="56"/>
      <c r="F124" s="57" t="s">
        <v>168</v>
      </c>
      <c r="G124" s="57" t="s">
        <v>169</v>
      </c>
      <c r="H124" s="57" t="s">
        <v>170</v>
      </c>
      <c r="I124" s="58"/>
      <c r="J124" s="58"/>
      <c r="K124" s="58"/>
      <c r="L124" s="59"/>
      <c r="M124" s="60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60" t="s">
        <v>171</v>
      </c>
      <c r="AZ124" s="62"/>
      <c r="BJ124" s="38"/>
      <c r="BK124" s="38"/>
      <c r="BO124" s="152"/>
      <c r="BP124" s="152"/>
      <c r="BQ124" s="38"/>
    </row>
    <row r="125" spans="2:72" ht="40.200000000000003" hidden="1" customHeight="1" x14ac:dyDescent="0.25">
      <c r="B125" s="55"/>
      <c r="D125" s="56"/>
      <c r="E125" s="56"/>
      <c r="F125" s="57" t="s">
        <v>172</v>
      </c>
      <c r="G125" s="58"/>
      <c r="H125" s="57" t="s">
        <v>173</v>
      </c>
      <c r="I125" s="58"/>
      <c r="J125" s="58"/>
      <c r="K125" s="58"/>
      <c r="L125" s="59"/>
      <c r="M125" s="60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60" t="s">
        <v>174</v>
      </c>
      <c r="AZ125" s="62"/>
      <c r="BJ125" s="38"/>
      <c r="BK125" s="38"/>
      <c r="BO125" s="152"/>
      <c r="BP125" s="152"/>
      <c r="BQ125" s="38"/>
    </row>
    <row r="126" spans="2:72" ht="40.200000000000003" hidden="1" customHeight="1" x14ac:dyDescent="0.25">
      <c r="B126" s="55"/>
      <c r="D126" s="56"/>
      <c r="E126" s="56"/>
      <c r="F126" s="57" t="s">
        <v>175</v>
      </c>
      <c r="G126" s="58"/>
      <c r="H126" s="57" t="s">
        <v>150</v>
      </c>
      <c r="I126" s="58"/>
      <c r="J126" s="58"/>
      <c r="K126" s="58"/>
      <c r="L126" s="59"/>
      <c r="M126" s="60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60" t="s">
        <v>176</v>
      </c>
      <c r="AZ126" s="62"/>
      <c r="BO126" s="152"/>
      <c r="BP126" s="152"/>
      <c r="BQ126" s="38"/>
    </row>
    <row r="127" spans="2:72" ht="40.200000000000003" hidden="1" customHeight="1" x14ac:dyDescent="0.25">
      <c r="B127" s="55"/>
      <c r="D127" s="56"/>
      <c r="E127" s="56"/>
      <c r="F127" s="57" t="s">
        <v>177</v>
      </c>
      <c r="G127" s="58"/>
      <c r="H127" s="58"/>
      <c r="I127" s="58"/>
      <c r="J127" s="58"/>
      <c r="K127" s="58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Z127" s="62"/>
    </row>
    <row r="128" spans="2:72" ht="40.200000000000003" hidden="1" customHeight="1" x14ac:dyDescent="0.25">
      <c r="B128" s="63"/>
      <c r="C128" s="9"/>
      <c r="D128" s="64"/>
      <c r="E128" s="64"/>
      <c r="F128" s="65" t="s">
        <v>178</v>
      </c>
      <c r="G128" s="66"/>
      <c r="H128" s="66"/>
      <c r="I128" s="66"/>
      <c r="J128" s="66"/>
      <c r="K128" s="66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68"/>
      <c r="BL128" s="9"/>
      <c r="BM128" s="9"/>
      <c r="BN128" s="156"/>
    </row>
    <row r="129" spans="4:61" ht="40.200000000000003" hidden="1" customHeight="1" x14ac:dyDescent="0.25">
      <c r="D129" s="56"/>
      <c r="E129" s="56"/>
      <c r="F129" s="58"/>
      <c r="G129" s="58"/>
      <c r="H129" s="58"/>
      <c r="I129" s="58"/>
      <c r="J129" s="58"/>
      <c r="K129" s="58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4:61" x14ac:dyDescent="0.25"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3" spans="4:61" x14ac:dyDescent="0.25">
      <c r="AU133" s="35"/>
    </row>
    <row r="134" spans="4:61" x14ac:dyDescent="0.25">
      <c r="AU134" s="35"/>
    </row>
    <row r="135" spans="4:61" x14ac:dyDescent="0.25">
      <c r="AU135" s="35"/>
    </row>
    <row r="136" spans="4:61" x14ac:dyDescent="0.25">
      <c r="AU136" s="35"/>
    </row>
    <row r="137" spans="4:61" x14ac:dyDescent="0.25">
      <c r="AU137" s="35"/>
    </row>
    <row r="138" spans="4:61" x14ac:dyDescent="0.25">
      <c r="AU138" s="35"/>
    </row>
    <row r="139" spans="4:61" x14ac:dyDescent="0.25">
      <c r="AU139" s="35"/>
    </row>
    <row r="140" spans="4:61" x14ac:dyDescent="0.25">
      <c r="AU140" s="35"/>
    </row>
    <row r="141" spans="4:61" x14ac:dyDescent="0.25">
      <c r="AU141" s="35"/>
    </row>
    <row r="142" spans="4:61" x14ac:dyDescent="0.25">
      <c r="AU142" s="35"/>
      <c r="BG142" s="38"/>
      <c r="BH142" s="38"/>
      <c r="BI142" s="38"/>
    </row>
    <row r="145" spans="62:69" x14ac:dyDescent="0.25">
      <c r="BJ145" s="38"/>
      <c r="BK145" s="38"/>
    </row>
    <row r="146" spans="62:69" x14ac:dyDescent="0.25">
      <c r="BO146" s="152"/>
      <c r="BP146" s="152"/>
      <c r="BQ146" s="38"/>
    </row>
  </sheetData>
  <mergeCells count="2">
    <mergeCell ref="A79:B79"/>
    <mergeCell ref="BD106:BE106"/>
  </mergeCells>
  <printOptions horizontalCentered="1"/>
  <pageMargins left="0.5" right="0.5" top="1.25" bottom="0.5" header="0.75" footer="0.3"/>
  <pageSetup paperSize="17" scale="70" orientation="portrait" r:id="rId1"/>
  <headerFooter>
    <oddHeader>&amp;C&amp;"Agenda,Regular"&amp;12&amp;K1E384BDENTON COUNTY TRANSPORTATION AUTHORITY
FY21 Proposed Budget
Budget Detail by Department</oddHeader>
  </headerFooter>
  <colBreaks count="3" manualBreakCount="3">
    <brk id="13" max="103" man="1"/>
    <brk id="41" max="103" man="1"/>
    <brk id="57" max="10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D9A3-724A-4610-82BD-3236182FC744}">
  <dimension ref="A1:AY144"/>
  <sheetViews>
    <sheetView tabSelected="1" zoomScaleNormal="100" zoomScaleSheetLayoutView="75" workbookViewId="0">
      <pane xSplit="2" ySplit="1" topLeftCell="L2" activePane="bottomRight" state="frozen"/>
      <selection activeCell="G10" sqref="G10"/>
      <selection pane="topRight" activeCell="G10" sqref="G10"/>
      <selection pane="bottomLeft" activeCell="G10" sqref="G10"/>
      <selection pane="bottomRight" activeCell="P10" sqref="P10"/>
    </sheetView>
  </sheetViews>
  <sheetFormatPr defaultColWidth="8.6640625" defaultRowHeight="13.2" x14ac:dyDescent="0.25"/>
  <cols>
    <col min="1" max="1" width="9.33203125" style="320" customWidth="1"/>
    <col min="2" max="2" width="33" style="5" customWidth="1"/>
    <col min="3" max="3" width="11.6640625" style="8" customWidth="1"/>
    <col min="4" max="4" width="13.33203125" style="8" customWidth="1"/>
    <col min="5" max="5" width="11.6640625" style="8" customWidth="1"/>
    <col min="6" max="6" width="12.6640625" style="8" customWidth="1"/>
    <col min="7" max="10" width="11.6640625" style="8" customWidth="1"/>
    <col min="11" max="11" width="12.6640625" style="8" customWidth="1"/>
    <col min="12" max="12" width="1.6640625" style="8" customWidth="1"/>
    <col min="13" max="13" width="9" style="8" customWidth="1"/>
    <col min="14" max="14" width="9.44140625" style="8" customWidth="1"/>
    <col min="15" max="18" width="8.44140625" style="8" customWidth="1"/>
    <col min="19" max="19" width="9.33203125" style="8" bestFit="1" customWidth="1"/>
    <col min="20" max="20" width="10.33203125" style="8" bestFit="1" customWidth="1"/>
    <col min="21" max="21" width="9.44140625" style="8" customWidth="1"/>
    <col min="22" max="22" width="12.44140625" style="8" bestFit="1" customWidth="1"/>
    <col min="23" max="23" width="8.33203125" style="8" customWidth="1"/>
    <col min="24" max="24" width="9.77734375" style="8" customWidth="1"/>
    <col min="25" max="26" width="10.6640625" style="8" customWidth="1"/>
    <col min="27" max="27" width="11.33203125" style="8" customWidth="1"/>
    <col min="28" max="28" width="9.33203125" style="8" customWidth="1"/>
    <col min="29" max="29" width="9.6640625" style="8" customWidth="1"/>
    <col min="30" max="31" width="8.6640625" style="8" customWidth="1"/>
    <col min="32" max="32" width="10.5546875" style="8" customWidth="1"/>
    <col min="33" max="33" width="9.44140625" style="8" customWidth="1"/>
    <col min="34" max="34" width="9.33203125" style="8" customWidth="1"/>
    <col min="35" max="35" width="9.44140625" style="8" customWidth="1"/>
    <col min="36" max="36" width="10.5546875" style="8" bestFit="1" customWidth="1"/>
    <col min="37" max="38" width="10.6640625" style="8" customWidth="1"/>
    <col min="39" max="40" width="9" style="8" customWidth="1"/>
    <col min="41" max="41" width="8.33203125" style="8" customWidth="1"/>
    <col min="42" max="42" width="8.6640625" style="8" customWidth="1"/>
    <col min="43" max="44" width="11.33203125" style="8" customWidth="1"/>
    <col min="45" max="45" width="10.109375" style="8" customWidth="1"/>
    <col min="46" max="46" width="1.6640625" style="8" customWidth="1"/>
    <col min="47" max="47" width="10.109375" style="8" customWidth="1"/>
    <col min="48" max="48" width="1.6640625" style="8" customWidth="1"/>
    <col min="49" max="49" width="11.21875" style="8" bestFit="1" customWidth="1"/>
    <col min="50" max="50" width="16.33203125" style="5" customWidth="1"/>
    <col min="51" max="51" width="11.6640625" style="5" bestFit="1" customWidth="1"/>
    <col min="52" max="16384" width="8.6640625" style="5"/>
  </cols>
  <sheetData>
    <row r="1" spans="1:49" ht="75" customHeight="1" x14ac:dyDescent="0.25">
      <c r="A1" s="14" t="s">
        <v>187</v>
      </c>
      <c r="B1" s="119" t="s">
        <v>188</v>
      </c>
      <c r="C1" s="2" t="s">
        <v>245</v>
      </c>
      <c r="D1" s="2" t="s">
        <v>205</v>
      </c>
      <c r="E1" s="2" t="s">
        <v>206</v>
      </c>
      <c r="F1" s="2" t="s">
        <v>207</v>
      </c>
      <c r="G1" s="2" t="s">
        <v>208</v>
      </c>
      <c r="H1" s="2" t="s">
        <v>209</v>
      </c>
      <c r="I1" s="2" t="s">
        <v>211</v>
      </c>
      <c r="J1" s="2" t="s">
        <v>212</v>
      </c>
      <c r="K1" s="2" t="s">
        <v>213</v>
      </c>
      <c r="L1" s="3"/>
      <c r="M1" s="2" t="s">
        <v>214</v>
      </c>
      <c r="N1" s="2" t="s">
        <v>215</v>
      </c>
      <c r="O1" s="2" t="s">
        <v>216</v>
      </c>
      <c r="P1" s="2" t="s">
        <v>217</v>
      </c>
      <c r="Q1" s="2" t="s">
        <v>218</v>
      </c>
      <c r="R1" s="2" t="s">
        <v>219</v>
      </c>
      <c r="S1" s="2" t="s">
        <v>220</v>
      </c>
      <c r="T1" s="2" t="s">
        <v>414</v>
      </c>
      <c r="U1" s="2" t="s">
        <v>415</v>
      </c>
      <c r="V1" s="2" t="s">
        <v>416</v>
      </c>
      <c r="W1" s="2" t="s">
        <v>224</v>
      </c>
      <c r="X1" s="2" t="s">
        <v>225</v>
      </c>
      <c r="Y1" s="2" t="s">
        <v>226</v>
      </c>
      <c r="Z1" s="2" t="s">
        <v>227</v>
      </c>
      <c r="AA1" s="2" t="s">
        <v>228</v>
      </c>
      <c r="AB1" s="2" t="s">
        <v>229</v>
      </c>
      <c r="AC1" s="2" t="s">
        <v>230</v>
      </c>
      <c r="AD1" s="2" t="s">
        <v>231</v>
      </c>
      <c r="AE1" s="2" t="s">
        <v>232</v>
      </c>
      <c r="AF1" s="2" t="s">
        <v>233</v>
      </c>
      <c r="AG1" s="2" t="s">
        <v>234</v>
      </c>
      <c r="AH1" s="2" t="s">
        <v>421</v>
      </c>
      <c r="AI1" s="2" t="s">
        <v>422</v>
      </c>
      <c r="AJ1" s="2" t="s">
        <v>423</v>
      </c>
      <c r="AK1" s="2" t="s">
        <v>235</v>
      </c>
      <c r="AL1" s="2" t="s">
        <v>236</v>
      </c>
      <c r="AM1" s="2" t="s">
        <v>237</v>
      </c>
      <c r="AN1" s="2" t="s">
        <v>238</v>
      </c>
      <c r="AO1" s="2" t="s">
        <v>239</v>
      </c>
      <c r="AP1" s="2" t="s">
        <v>240</v>
      </c>
      <c r="AQ1" s="2" t="s">
        <v>241</v>
      </c>
      <c r="AR1" s="2" t="s">
        <v>242</v>
      </c>
      <c r="AS1" s="2" t="s">
        <v>243</v>
      </c>
      <c r="AT1" s="3"/>
      <c r="AU1" s="2" t="s">
        <v>419</v>
      </c>
      <c r="AV1" s="3"/>
      <c r="AW1" s="2" t="s">
        <v>246</v>
      </c>
    </row>
    <row r="2" spans="1:49" x14ac:dyDescent="0.25">
      <c r="A2" s="320">
        <v>40100</v>
      </c>
      <c r="B2" s="35" t="s">
        <v>37</v>
      </c>
      <c r="C2" s="75">
        <v>0</v>
      </c>
      <c r="D2" s="75">
        <v>0</v>
      </c>
      <c r="E2" s="75">
        <v>0</v>
      </c>
      <c r="F2" s="75">
        <v>0</v>
      </c>
      <c r="G2" s="75">
        <v>0</v>
      </c>
      <c r="H2" s="75">
        <v>0</v>
      </c>
      <c r="I2" s="75">
        <v>0</v>
      </c>
      <c r="J2" s="75">
        <v>0</v>
      </c>
      <c r="K2" s="75">
        <f>SUM(C2:J2)</f>
        <v>0</v>
      </c>
      <c r="L2" s="75"/>
      <c r="M2" s="79">
        <v>0</v>
      </c>
      <c r="N2" s="79">
        <v>0</v>
      </c>
      <c r="O2" s="112">
        <v>9376</v>
      </c>
      <c r="P2" s="112">
        <v>0</v>
      </c>
      <c r="Q2" s="137">
        <v>562</v>
      </c>
      <c r="R2" s="137">
        <v>0</v>
      </c>
      <c r="S2" s="112">
        <v>0</v>
      </c>
      <c r="T2" s="137">
        <v>0</v>
      </c>
      <c r="U2" s="137">
        <v>0</v>
      </c>
      <c r="V2" s="313">
        <v>0</v>
      </c>
      <c r="W2" s="112">
        <v>62763</v>
      </c>
      <c r="X2" s="112">
        <v>0</v>
      </c>
      <c r="Y2" s="137">
        <v>6572</v>
      </c>
      <c r="Z2" s="317">
        <v>0</v>
      </c>
      <c r="AA2" s="112">
        <v>0</v>
      </c>
      <c r="AB2" s="112">
        <v>21647</v>
      </c>
      <c r="AC2" s="112">
        <v>0</v>
      </c>
      <c r="AD2" s="137">
        <v>1721</v>
      </c>
      <c r="AE2" s="137">
        <v>0</v>
      </c>
      <c r="AF2" s="112">
        <v>13947</v>
      </c>
      <c r="AG2" s="313">
        <v>0</v>
      </c>
      <c r="AH2" s="112">
        <v>0</v>
      </c>
      <c r="AI2" s="313">
        <v>0</v>
      </c>
      <c r="AJ2" s="313">
        <v>0</v>
      </c>
      <c r="AK2" s="112">
        <v>406</v>
      </c>
      <c r="AL2" s="112">
        <v>0</v>
      </c>
      <c r="AM2" s="137">
        <v>0</v>
      </c>
      <c r="AN2" s="137">
        <v>0</v>
      </c>
      <c r="AO2" s="112">
        <v>0</v>
      </c>
      <c r="AP2" s="112">
        <v>0</v>
      </c>
      <c r="AQ2" s="137">
        <v>0</v>
      </c>
      <c r="AR2" s="137">
        <v>0</v>
      </c>
      <c r="AS2" s="75">
        <f>SUM(M2:AR2)</f>
        <v>116994</v>
      </c>
      <c r="AT2" s="75"/>
      <c r="AU2" s="75">
        <v>262917</v>
      </c>
      <c r="AV2" s="75"/>
      <c r="AW2" s="83">
        <f>K2+AS2+AU2</f>
        <v>379911</v>
      </c>
    </row>
    <row r="3" spans="1:49" x14ac:dyDescent="0.25">
      <c r="A3" s="320">
        <v>40100</v>
      </c>
      <c r="B3" s="35" t="s">
        <v>413</v>
      </c>
      <c r="C3" s="75">
        <v>0</v>
      </c>
      <c r="D3" s="75">
        <v>0</v>
      </c>
      <c r="E3" s="75">
        <v>0</v>
      </c>
      <c r="F3" s="75">
        <v>0</v>
      </c>
      <c r="G3" s="75">
        <v>0</v>
      </c>
      <c r="H3" s="75">
        <v>0</v>
      </c>
      <c r="I3" s="75">
        <v>0</v>
      </c>
      <c r="J3" s="75">
        <v>0</v>
      </c>
      <c r="K3" s="75">
        <f>SUM(C3:J3)</f>
        <v>0</v>
      </c>
      <c r="L3" s="75"/>
      <c r="M3" s="79">
        <v>0</v>
      </c>
      <c r="N3" s="79">
        <v>0</v>
      </c>
      <c r="O3" s="112">
        <v>0</v>
      </c>
      <c r="P3" s="112">
        <v>0</v>
      </c>
      <c r="Q3" s="137">
        <v>0</v>
      </c>
      <c r="R3" s="137">
        <v>0</v>
      </c>
      <c r="S3" s="112">
        <v>0</v>
      </c>
      <c r="T3" s="137">
        <v>0</v>
      </c>
      <c r="U3" s="137">
        <v>0</v>
      </c>
      <c r="V3" s="313">
        <v>0</v>
      </c>
      <c r="W3" s="112">
        <v>0</v>
      </c>
      <c r="X3" s="112">
        <v>0</v>
      </c>
      <c r="Y3" s="137">
        <v>0</v>
      </c>
      <c r="Z3" s="317">
        <v>0</v>
      </c>
      <c r="AA3" s="112">
        <v>0</v>
      </c>
      <c r="AB3" s="112">
        <v>0</v>
      </c>
      <c r="AC3" s="112">
        <v>0</v>
      </c>
      <c r="AD3" s="137">
        <v>0</v>
      </c>
      <c r="AE3" s="137">
        <v>0</v>
      </c>
      <c r="AF3" s="112">
        <v>0</v>
      </c>
      <c r="AG3" s="313">
        <v>0</v>
      </c>
      <c r="AH3" s="112">
        <v>130203</v>
      </c>
      <c r="AI3" s="313">
        <v>8399</v>
      </c>
      <c r="AJ3" s="313">
        <v>71399</v>
      </c>
      <c r="AK3" s="112">
        <v>0</v>
      </c>
      <c r="AL3" s="112">
        <v>0</v>
      </c>
      <c r="AM3" s="137">
        <v>0</v>
      </c>
      <c r="AN3" s="137">
        <v>0</v>
      </c>
      <c r="AO3" s="112">
        <v>0</v>
      </c>
      <c r="AP3" s="112">
        <v>0</v>
      </c>
      <c r="AQ3" s="137">
        <v>0</v>
      </c>
      <c r="AR3" s="137">
        <v>0</v>
      </c>
      <c r="AS3" s="75">
        <f>SUM(M3:AR3)</f>
        <v>210001</v>
      </c>
      <c r="AT3" s="75"/>
      <c r="AU3" s="75">
        <v>0</v>
      </c>
      <c r="AV3" s="75"/>
      <c r="AW3" s="83">
        <f>K3+AS3+AU3</f>
        <v>210001</v>
      </c>
    </row>
    <row r="4" spans="1:49" x14ac:dyDescent="0.25">
      <c r="A4" s="320">
        <v>40120</v>
      </c>
      <c r="B4" s="35" t="s">
        <v>38</v>
      </c>
      <c r="C4" s="75">
        <v>0</v>
      </c>
      <c r="D4" s="75">
        <v>0</v>
      </c>
      <c r="E4" s="75">
        <v>0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5">
        <f>SUM(C4:J4)</f>
        <v>0</v>
      </c>
      <c r="L4" s="75"/>
      <c r="M4" s="79">
        <v>3248639</v>
      </c>
      <c r="N4" s="79">
        <v>0</v>
      </c>
      <c r="O4" s="112">
        <v>349917</v>
      </c>
      <c r="P4" s="112">
        <v>0</v>
      </c>
      <c r="Q4" s="137">
        <v>108653</v>
      </c>
      <c r="R4" s="137">
        <v>0</v>
      </c>
      <c r="S4" s="112">
        <v>208550</v>
      </c>
      <c r="T4" s="137">
        <v>0</v>
      </c>
      <c r="U4" s="137">
        <v>0</v>
      </c>
      <c r="V4" s="313">
        <v>0</v>
      </c>
      <c r="W4" s="112">
        <v>0</v>
      </c>
      <c r="X4" s="112">
        <v>0</v>
      </c>
      <c r="Y4" s="137">
        <v>0</v>
      </c>
      <c r="Z4" s="317">
        <v>0</v>
      </c>
      <c r="AA4" s="112">
        <v>0</v>
      </c>
      <c r="AB4" s="112">
        <v>0</v>
      </c>
      <c r="AC4" s="112">
        <v>0</v>
      </c>
      <c r="AD4" s="137">
        <v>0</v>
      </c>
      <c r="AE4" s="137">
        <v>0</v>
      </c>
      <c r="AF4" s="112">
        <v>0</v>
      </c>
      <c r="AG4" s="313">
        <v>0</v>
      </c>
      <c r="AH4" s="112">
        <v>0</v>
      </c>
      <c r="AI4" s="313">
        <v>0</v>
      </c>
      <c r="AJ4" s="313">
        <v>0</v>
      </c>
      <c r="AK4" s="112">
        <v>0</v>
      </c>
      <c r="AL4" s="112">
        <v>0</v>
      </c>
      <c r="AM4" s="137">
        <v>0</v>
      </c>
      <c r="AN4" s="137">
        <v>0</v>
      </c>
      <c r="AO4" s="112">
        <v>0</v>
      </c>
      <c r="AP4" s="112">
        <v>0</v>
      </c>
      <c r="AQ4" s="137">
        <v>0</v>
      </c>
      <c r="AR4" s="137">
        <v>0</v>
      </c>
      <c r="AS4" s="75">
        <f>SUM(M4:AR4)</f>
        <v>3915759</v>
      </c>
      <c r="AT4" s="75"/>
      <c r="AU4" s="75">
        <v>0</v>
      </c>
      <c r="AV4" s="75"/>
      <c r="AW4" s="83">
        <f>K4+AS4+AU4</f>
        <v>3915759</v>
      </c>
    </row>
    <row r="5" spans="1:49" x14ac:dyDescent="0.25">
      <c r="B5" s="320"/>
      <c r="C5" s="84"/>
      <c r="D5" s="84"/>
      <c r="E5" s="84"/>
      <c r="F5" s="84"/>
      <c r="G5" s="84"/>
      <c r="H5" s="84"/>
      <c r="I5" s="84"/>
      <c r="J5" s="84"/>
      <c r="K5" s="84"/>
      <c r="L5" s="75"/>
      <c r="M5" s="85"/>
      <c r="N5" s="85"/>
      <c r="O5" s="113"/>
      <c r="P5" s="113"/>
      <c r="Q5" s="138"/>
      <c r="R5" s="138"/>
      <c r="S5" s="113"/>
      <c r="T5" s="138"/>
      <c r="U5" s="138"/>
      <c r="V5" s="113"/>
      <c r="W5" s="113"/>
      <c r="X5" s="113"/>
      <c r="Y5" s="138"/>
      <c r="Z5" s="138"/>
      <c r="AA5" s="113"/>
      <c r="AB5" s="113"/>
      <c r="AC5" s="113"/>
      <c r="AD5" s="138"/>
      <c r="AE5" s="138"/>
      <c r="AF5" s="113"/>
      <c r="AG5" s="113"/>
      <c r="AH5" s="113"/>
      <c r="AI5" s="113"/>
      <c r="AJ5" s="113"/>
      <c r="AK5" s="113"/>
      <c r="AL5" s="113"/>
      <c r="AM5" s="138"/>
      <c r="AN5" s="138"/>
      <c r="AO5" s="113"/>
      <c r="AP5" s="113"/>
      <c r="AQ5" s="138"/>
      <c r="AR5" s="138"/>
      <c r="AS5" s="84"/>
      <c r="AT5" s="75"/>
      <c r="AU5" s="84"/>
      <c r="AV5" s="75"/>
      <c r="AW5" s="88"/>
    </row>
    <row r="6" spans="1:49" s="13" customFormat="1" x14ac:dyDescent="0.25">
      <c r="A6" s="10"/>
      <c r="B6" s="120" t="s">
        <v>39</v>
      </c>
      <c r="C6" s="76">
        <f>SUM(C2:C5)</f>
        <v>0</v>
      </c>
      <c r="D6" s="76">
        <f>SUM(D2:D5)</f>
        <v>0</v>
      </c>
      <c r="E6" s="76">
        <f>SUM(E2:E5)</f>
        <v>0</v>
      </c>
      <c r="F6" s="76">
        <f t="shared" ref="F6:AU6" si="0">SUM(F2:F5)</f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89"/>
      <c r="M6" s="76">
        <f>SUM(M2:M5)</f>
        <v>3248639</v>
      </c>
      <c r="N6" s="76">
        <f>SUM(N2:N5)</f>
        <v>0</v>
      </c>
      <c r="O6" s="76">
        <f t="shared" si="0"/>
        <v>359293</v>
      </c>
      <c r="P6" s="76">
        <f>SUM(P2:P5)</f>
        <v>0</v>
      </c>
      <c r="Q6" s="76">
        <f t="shared" si="0"/>
        <v>109215</v>
      </c>
      <c r="R6" s="76">
        <f>SUM(R2:R5)</f>
        <v>0</v>
      </c>
      <c r="S6" s="76">
        <f t="shared" si="0"/>
        <v>208550</v>
      </c>
      <c r="T6" s="76">
        <f t="shared" si="0"/>
        <v>0</v>
      </c>
      <c r="U6" s="76">
        <f>SUM(U2:U5)</f>
        <v>0</v>
      </c>
      <c r="V6" s="314">
        <f t="shared" si="0"/>
        <v>0</v>
      </c>
      <c r="W6" s="76">
        <f t="shared" si="0"/>
        <v>62763</v>
      </c>
      <c r="X6" s="76">
        <f>SUM(X2:X5)</f>
        <v>0</v>
      </c>
      <c r="Y6" s="76">
        <f t="shared" si="0"/>
        <v>6572</v>
      </c>
      <c r="Z6" s="314">
        <f t="shared" si="0"/>
        <v>0</v>
      </c>
      <c r="AA6" s="76">
        <f>SUM(AA2:AA5)</f>
        <v>0</v>
      </c>
      <c r="AB6" s="76">
        <f t="shared" si="0"/>
        <v>21647</v>
      </c>
      <c r="AC6" s="76">
        <f>SUM(AC2:AC5)</f>
        <v>0</v>
      </c>
      <c r="AD6" s="76">
        <f t="shared" si="0"/>
        <v>1721</v>
      </c>
      <c r="AE6" s="76"/>
      <c r="AF6" s="76">
        <f t="shared" si="0"/>
        <v>13947</v>
      </c>
      <c r="AG6" s="314"/>
      <c r="AH6" s="76">
        <f t="shared" ref="AH6:AJ6" si="1">SUM(AH2:AH5)</f>
        <v>130203</v>
      </c>
      <c r="AI6" s="76">
        <f t="shared" si="1"/>
        <v>8399</v>
      </c>
      <c r="AJ6" s="76">
        <f t="shared" si="1"/>
        <v>71399</v>
      </c>
      <c r="AK6" s="76">
        <f t="shared" si="0"/>
        <v>406</v>
      </c>
      <c r="AL6" s="76"/>
      <c r="AM6" s="76">
        <f t="shared" si="0"/>
        <v>0</v>
      </c>
      <c r="AN6" s="76"/>
      <c r="AO6" s="76">
        <f t="shared" si="0"/>
        <v>0</v>
      </c>
      <c r="AP6" s="76"/>
      <c r="AQ6" s="76">
        <f t="shared" si="0"/>
        <v>0</v>
      </c>
      <c r="AR6" s="76"/>
      <c r="AS6" s="76">
        <f t="shared" si="0"/>
        <v>4242754</v>
      </c>
      <c r="AT6" s="89"/>
      <c r="AU6" s="76">
        <f t="shared" si="0"/>
        <v>262917</v>
      </c>
      <c r="AV6" s="89"/>
      <c r="AW6" s="76">
        <f>SUM(AW2:AW5)</f>
        <v>4505671</v>
      </c>
    </row>
    <row r="7" spans="1:49" x14ac:dyDescent="0.25"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154"/>
      <c r="W7" s="75"/>
      <c r="X7" s="75"/>
      <c r="Y7" s="75"/>
      <c r="Z7" s="154"/>
      <c r="AA7" s="75"/>
      <c r="AB7" s="75"/>
      <c r="AC7" s="75"/>
      <c r="AD7" s="75"/>
      <c r="AE7" s="75"/>
      <c r="AF7" s="75"/>
      <c r="AG7" s="154"/>
      <c r="AH7" s="75"/>
      <c r="AI7" s="154"/>
      <c r="AJ7" s="154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83"/>
    </row>
    <row r="8" spans="1:49" s="16" customFormat="1" x14ac:dyDescent="0.25">
      <c r="A8" s="1" t="s">
        <v>40</v>
      </c>
      <c r="B8" s="14"/>
      <c r="C8" s="77"/>
      <c r="D8" s="77"/>
      <c r="E8" s="77"/>
      <c r="F8" s="77"/>
      <c r="G8" s="77"/>
      <c r="H8" s="77"/>
      <c r="I8" s="77"/>
      <c r="J8" s="77"/>
      <c r="K8" s="77"/>
      <c r="L8" s="94"/>
      <c r="M8" s="77"/>
      <c r="N8" s="77"/>
      <c r="O8" s="77"/>
      <c r="P8" s="77"/>
      <c r="Q8" s="77"/>
      <c r="R8" s="77"/>
      <c r="S8" s="77"/>
      <c r="T8" s="77"/>
      <c r="U8" s="77"/>
      <c r="V8" s="315"/>
      <c r="W8" s="77"/>
      <c r="X8" s="77"/>
      <c r="Y8" s="77"/>
      <c r="Z8" s="315"/>
      <c r="AA8" s="77"/>
      <c r="AB8" s="77"/>
      <c r="AC8" s="77"/>
      <c r="AD8" s="77"/>
      <c r="AE8" s="77"/>
      <c r="AF8" s="77"/>
      <c r="AG8" s="315"/>
      <c r="AH8" s="77"/>
      <c r="AI8" s="315"/>
      <c r="AJ8" s="315"/>
      <c r="AK8" s="77"/>
      <c r="AL8" s="77"/>
      <c r="AM8" s="77"/>
      <c r="AN8" s="77"/>
      <c r="AO8" s="77"/>
      <c r="AP8" s="77"/>
      <c r="AQ8" s="77"/>
      <c r="AR8" s="77"/>
      <c r="AS8" s="77"/>
      <c r="AT8" s="94"/>
      <c r="AU8" s="77"/>
      <c r="AV8" s="94"/>
      <c r="AW8" s="77"/>
    </row>
    <row r="9" spans="1:49" x14ac:dyDescent="0.25">
      <c r="A9" s="320">
        <v>50110</v>
      </c>
      <c r="B9" s="35" t="s">
        <v>183</v>
      </c>
      <c r="C9" s="75">
        <f>275000+13659</f>
        <v>288659</v>
      </c>
      <c r="D9" s="75">
        <v>100080</v>
      </c>
      <c r="E9" s="75">
        <v>0</v>
      </c>
      <c r="F9" s="75">
        <v>1154880</v>
      </c>
      <c r="G9" s="75">
        <v>428900</v>
      </c>
      <c r="H9" s="75">
        <v>403724</v>
      </c>
      <c r="I9" s="75">
        <v>166524</v>
      </c>
      <c r="J9" s="75">
        <v>244840</v>
      </c>
      <c r="K9" s="75">
        <f>+SUM(C9:J9)</f>
        <v>2787607</v>
      </c>
      <c r="L9" s="75"/>
      <c r="M9" s="79">
        <v>0</v>
      </c>
      <c r="N9" s="79">
        <v>1115741</v>
      </c>
      <c r="O9" s="112">
        <v>0</v>
      </c>
      <c r="P9" s="112">
        <v>65408</v>
      </c>
      <c r="Q9" s="137">
        <v>0</v>
      </c>
      <c r="R9" s="137">
        <v>3135</v>
      </c>
      <c r="S9" s="112">
        <v>0</v>
      </c>
      <c r="T9" s="137">
        <v>0</v>
      </c>
      <c r="U9" s="137">
        <v>138364</v>
      </c>
      <c r="V9" s="313">
        <v>455749</v>
      </c>
      <c r="W9" s="112">
        <v>0</v>
      </c>
      <c r="X9" s="112">
        <v>305038</v>
      </c>
      <c r="Y9" s="137">
        <v>0</v>
      </c>
      <c r="Z9" s="317">
        <v>113224</v>
      </c>
      <c r="AA9" s="112">
        <v>0</v>
      </c>
      <c r="AB9" s="112">
        <v>0</v>
      </c>
      <c r="AC9" s="112">
        <v>188734</v>
      </c>
      <c r="AD9" s="137">
        <v>0</v>
      </c>
      <c r="AE9" s="137">
        <v>14376</v>
      </c>
      <c r="AF9" s="112">
        <v>0</v>
      </c>
      <c r="AG9" s="313">
        <v>108534</v>
      </c>
      <c r="AH9" s="112">
        <v>0</v>
      </c>
      <c r="AI9" s="313">
        <v>0</v>
      </c>
      <c r="AJ9" s="313">
        <v>0</v>
      </c>
      <c r="AK9" s="112"/>
      <c r="AL9" s="112">
        <v>19991</v>
      </c>
      <c r="AM9" s="137">
        <v>0</v>
      </c>
      <c r="AN9" s="137">
        <f>261515+63514</f>
        <v>325029</v>
      </c>
      <c r="AO9" s="112">
        <v>0</v>
      </c>
      <c r="AP9" s="112">
        <v>522934</v>
      </c>
      <c r="AQ9" s="137">
        <v>0</v>
      </c>
      <c r="AR9" s="137">
        <v>683745</v>
      </c>
      <c r="AS9" s="75">
        <f>SUM(M9:AR9)</f>
        <v>4060002</v>
      </c>
      <c r="AT9" s="75"/>
      <c r="AU9" s="75">
        <v>448137</v>
      </c>
      <c r="AV9" s="75"/>
      <c r="AW9" s="83">
        <f>K9+AS9+AU9</f>
        <v>7295746</v>
      </c>
    </row>
    <row r="10" spans="1:49" x14ac:dyDescent="0.25">
      <c r="A10" s="320">
        <v>50120</v>
      </c>
      <c r="B10" s="35" t="s">
        <v>184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f>+SUM(C10:J10)</f>
        <v>0</v>
      </c>
      <c r="L10" s="75"/>
      <c r="M10" s="79">
        <v>0</v>
      </c>
      <c r="N10" s="79">
        <v>92606</v>
      </c>
      <c r="O10" s="112">
        <v>0</v>
      </c>
      <c r="P10" s="112">
        <v>5430</v>
      </c>
      <c r="Q10" s="137">
        <v>0</v>
      </c>
      <c r="R10" s="137">
        <v>260</v>
      </c>
      <c r="S10" s="112">
        <v>0</v>
      </c>
      <c r="T10" s="137">
        <v>0</v>
      </c>
      <c r="U10" s="137">
        <v>2989</v>
      </c>
      <c r="V10" s="313">
        <v>0</v>
      </c>
      <c r="W10" s="112">
        <v>0</v>
      </c>
      <c r="X10" s="112">
        <v>25318</v>
      </c>
      <c r="Y10" s="137">
        <v>0</v>
      </c>
      <c r="Z10" s="317">
        <v>9398</v>
      </c>
      <c r="AA10" s="112">
        <v>0</v>
      </c>
      <c r="AB10" s="112">
        <v>0</v>
      </c>
      <c r="AC10" s="112">
        <v>15663</v>
      </c>
      <c r="AD10" s="137">
        <v>0</v>
      </c>
      <c r="AE10" s="137">
        <v>1193</v>
      </c>
      <c r="AF10" s="112">
        <v>0</v>
      </c>
      <c r="AG10" s="313">
        <v>9009</v>
      </c>
      <c r="AH10" s="112">
        <v>0</v>
      </c>
      <c r="AI10" s="313">
        <v>0</v>
      </c>
      <c r="AJ10" s="313">
        <v>0</v>
      </c>
      <c r="AK10" s="112"/>
      <c r="AL10" s="112">
        <v>1660</v>
      </c>
      <c r="AM10" s="137">
        <v>0</v>
      </c>
      <c r="AN10" s="137">
        <v>17014</v>
      </c>
      <c r="AO10" s="112">
        <v>0</v>
      </c>
      <c r="AP10" s="112">
        <v>38606</v>
      </c>
      <c r="AQ10" s="137">
        <v>0</v>
      </c>
      <c r="AR10" s="137">
        <v>51425</v>
      </c>
      <c r="AS10" s="75">
        <f>SUM(M10:AR10)</f>
        <v>270571</v>
      </c>
      <c r="AT10" s="75"/>
      <c r="AU10" s="75">
        <v>0</v>
      </c>
      <c r="AV10" s="75"/>
      <c r="AW10" s="83">
        <f>K10+AS10+AU10</f>
        <v>270571</v>
      </c>
    </row>
    <row r="11" spans="1:49" x14ac:dyDescent="0.25">
      <c r="A11" s="320">
        <v>50130</v>
      </c>
      <c r="B11" s="35" t="s">
        <v>41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f>+SUM(C11:J11)</f>
        <v>0</v>
      </c>
      <c r="L11" s="75"/>
      <c r="M11" s="79">
        <v>0</v>
      </c>
      <c r="N11" s="79">
        <v>0</v>
      </c>
      <c r="O11" s="112">
        <v>0</v>
      </c>
      <c r="P11" s="112">
        <v>0</v>
      </c>
      <c r="Q11" s="137">
        <v>0</v>
      </c>
      <c r="R11" s="137">
        <v>0</v>
      </c>
      <c r="S11" s="112">
        <v>0</v>
      </c>
      <c r="T11" s="137">
        <v>0</v>
      </c>
      <c r="U11" s="137">
        <v>0</v>
      </c>
      <c r="V11" s="313">
        <v>0</v>
      </c>
      <c r="W11" s="112">
        <v>0</v>
      </c>
      <c r="X11" s="112">
        <v>0</v>
      </c>
      <c r="Y11" s="137">
        <v>0</v>
      </c>
      <c r="Z11" s="317">
        <v>0</v>
      </c>
      <c r="AA11" s="112">
        <v>0</v>
      </c>
      <c r="AB11" s="112">
        <v>0</v>
      </c>
      <c r="AC11" s="112">
        <v>0</v>
      </c>
      <c r="AD11" s="137">
        <v>0</v>
      </c>
      <c r="AE11" s="137">
        <v>0</v>
      </c>
      <c r="AF11" s="112">
        <v>0</v>
      </c>
      <c r="AG11" s="313">
        <v>0</v>
      </c>
      <c r="AH11" s="112">
        <v>0</v>
      </c>
      <c r="AI11" s="313">
        <v>0</v>
      </c>
      <c r="AJ11" s="313">
        <v>0</v>
      </c>
      <c r="AK11" s="112"/>
      <c r="AL11" s="112"/>
      <c r="AM11" s="137">
        <v>0</v>
      </c>
      <c r="AN11" s="137">
        <v>0</v>
      </c>
      <c r="AO11" s="112">
        <v>0</v>
      </c>
      <c r="AP11" s="112">
        <v>0</v>
      </c>
      <c r="AQ11" s="137">
        <v>0</v>
      </c>
      <c r="AR11" s="137">
        <v>0</v>
      </c>
      <c r="AS11" s="75">
        <f>SUM(M11:AR11)</f>
        <v>0</v>
      </c>
      <c r="AT11" s="75"/>
      <c r="AU11" s="75">
        <v>0</v>
      </c>
      <c r="AV11" s="75"/>
      <c r="AW11" s="83">
        <f>K11+AS11+AU11</f>
        <v>0</v>
      </c>
    </row>
    <row r="12" spans="1:49" x14ac:dyDescent="0.25">
      <c r="A12" s="320">
        <v>50160</v>
      </c>
      <c r="B12" s="35" t="s">
        <v>42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f>+SUM(C12:J12)</f>
        <v>0</v>
      </c>
      <c r="L12" s="75"/>
      <c r="M12" s="79">
        <v>0</v>
      </c>
      <c r="N12" s="79">
        <v>8002</v>
      </c>
      <c r="O12" s="112">
        <v>0</v>
      </c>
      <c r="P12" s="112">
        <v>466</v>
      </c>
      <c r="Q12" s="137">
        <v>0</v>
      </c>
      <c r="R12" s="137">
        <v>22</v>
      </c>
      <c r="S12" s="112">
        <v>0</v>
      </c>
      <c r="T12" s="137">
        <v>0</v>
      </c>
      <c r="U12" s="137">
        <v>0</v>
      </c>
      <c r="V12" s="313">
        <v>0</v>
      </c>
      <c r="W12" s="112">
        <v>0</v>
      </c>
      <c r="X12" s="112">
        <v>2255</v>
      </c>
      <c r="Y12" s="137">
        <v>0</v>
      </c>
      <c r="Z12" s="317">
        <v>860</v>
      </c>
      <c r="AA12" s="112">
        <v>0</v>
      </c>
      <c r="AB12" s="112">
        <v>0</v>
      </c>
      <c r="AC12" s="112">
        <v>1348</v>
      </c>
      <c r="AD12" s="137">
        <v>0</v>
      </c>
      <c r="AE12" s="137">
        <v>102</v>
      </c>
      <c r="AF12" s="112">
        <v>0</v>
      </c>
      <c r="AG12" s="313">
        <v>775</v>
      </c>
      <c r="AH12" s="112">
        <v>0</v>
      </c>
      <c r="AI12" s="313">
        <v>0</v>
      </c>
      <c r="AJ12" s="313">
        <v>0</v>
      </c>
      <c r="AK12" s="112"/>
      <c r="AL12" s="112">
        <v>145</v>
      </c>
      <c r="AM12" s="137">
        <v>0</v>
      </c>
      <c r="AN12" s="137">
        <v>0</v>
      </c>
      <c r="AO12" s="112">
        <v>0</v>
      </c>
      <c r="AP12" s="112">
        <v>0</v>
      </c>
      <c r="AQ12" s="137">
        <v>0</v>
      </c>
      <c r="AR12" s="137">
        <v>0</v>
      </c>
      <c r="AS12" s="75">
        <f>SUM(M12:AR12)</f>
        <v>13975</v>
      </c>
      <c r="AT12" s="75"/>
      <c r="AU12" s="75">
        <v>0</v>
      </c>
      <c r="AV12" s="75"/>
      <c r="AW12" s="83">
        <f>K12+AS12+AU12</f>
        <v>13975</v>
      </c>
    </row>
    <row r="13" spans="1:49" x14ac:dyDescent="0.25">
      <c r="A13" s="320">
        <v>50205</v>
      </c>
      <c r="B13" s="35" t="s">
        <v>43</v>
      </c>
      <c r="C13" s="75">
        <v>21041</v>
      </c>
      <c r="D13" s="75">
        <v>7652</v>
      </c>
      <c r="E13" s="75">
        <v>0</v>
      </c>
      <c r="F13" s="75">
        <v>88348</v>
      </c>
      <c r="G13" s="75">
        <v>32808</v>
      </c>
      <c r="H13" s="75">
        <v>30884</v>
      </c>
      <c r="I13" s="75">
        <f>2420+10324</f>
        <v>12744</v>
      </c>
      <c r="J13" s="75">
        <f>3548+15176</f>
        <v>18724</v>
      </c>
      <c r="K13" s="75">
        <f>+SUM(C13:J13)</f>
        <v>212201</v>
      </c>
      <c r="L13" s="75"/>
      <c r="M13" s="79">
        <v>0</v>
      </c>
      <c r="N13" s="79">
        <v>83551</v>
      </c>
      <c r="O13" s="112">
        <v>0</v>
      </c>
      <c r="P13" s="112">
        <v>4807</v>
      </c>
      <c r="Q13" s="137">
        <v>0</v>
      </c>
      <c r="R13" s="137">
        <v>264</v>
      </c>
      <c r="S13" s="112">
        <v>0</v>
      </c>
      <c r="T13" s="137">
        <v>0</v>
      </c>
      <c r="U13" s="137">
        <v>10593</v>
      </c>
      <c r="V13" s="313">
        <f>6608+28260</f>
        <v>34868</v>
      </c>
      <c r="W13" s="112">
        <v>0</v>
      </c>
      <c r="X13" s="112">
        <v>25236</v>
      </c>
      <c r="Y13" s="137">
        <v>0</v>
      </c>
      <c r="Z13" s="317">
        <v>9602</v>
      </c>
      <c r="AA13" s="112">
        <v>0</v>
      </c>
      <c r="AB13" s="112">
        <v>0</v>
      </c>
      <c r="AC13" s="112">
        <v>13949</v>
      </c>
      <c r="AD13" s="137">
        <v>0</v>
      </c>
      <c r="AE13" s="137">
        <v>1070</v>
      </c>
      <c r="AF13" s="112">
        <v>0</v>
      </c>
      <c r="AG13" s="313">
        <v>7992</v>
      </c>
      <c r="AH13" s="112">
        <v>0</v>
      </c>
      <c r="AI13" s="313">
        <v>0</v>
      </c>
      <c r="AJ13" s="313">
        <v>0</v>
      </c>
      <c r="AK13" s="112"/>
      <c r="AL13" s="112">
        <v>1491</v>
      </c>
      <c r="AM13" s="137">
        <v>0</v>
      </c>
      <c r="AN13" s="137">
        <v>21267</v>
      </c>
      <c r="AO13" s="112">
        <v>0</v>
      </c>
      <c r="AP13" s="112">
        <v>42895</v>
      </c>
      <c r="AQ13" s="137">
        <v>0</v>
      </c>
      <c r="AR13" s="137">
        <v>56158</v>
      </c>
      <c r="AS13" s="75">
        <f>SUM(M13:AR13)</f>
        <v>313743</v>
      </c>
      <c r="AT13" s="75"/>
      <c r="AU13" s="75">
        <v>34288</v>
      </c>
      <c r="AV13" s="75"/>
      <c r="AW13" s="83">
        <f>K13+AS13+AU13</f>
        <v>560232</v>
      </c>
    </row>
    <row r="14" spans="1:49" x14ac:dyDescent="0.25">
      <c r="A14" s="320">
        <v>50210</v>
      </c>
      <c r="B14" s="35" t="s">
        <v>44</v>
      </c>
      <c r="C14" s="75">
        <v>20004</v>
      </c>
      <c r="D14" s="75">
        <v>7396</v>
      </c>
      <c r="E14" s="75">
        <v>0</v>
      </c>
      <c r="F14" s="75">
        <v>85293</v>
      </c>
      <c r="G14" s="75">
        <v>31676</v>
      </c>
      <c r="H14" s="75">
        <v>29815</v>
      </c>
      <c r="I14" s="75">
        <v>12299</v>
      </c>
      <c r="J14" s="75">
        <v>18081</v>
      </c>
      <c r="K14" s="75">
        <f>+SUM(C14:J14)</f>
        <v>204564</v>
      </c>
      <c r="L14" s="75"/>
      <c r="M14" s="79">
        <v>0</v>
      </c>
      <c r="N14" s="79">
        <v>27325</v>
      </c>
      <c r="O14" s="112">
        <v>0</v>
      </c>
      <c r="P14" s="112">
        <v>1484</v>
      </c>
      <c r="Q14" s="137">
        <v>0</v>
      </c>
      <c r="R14" s="137">
        <v>120</v>
      </c>
      <c r="S14" s="112">
        <v>0</v>
      </c>
      <c r="T14" s="137">
        <v>0</v>
      </c>
      <c r="U14" s="137">
        <v>3600</v>
      </c>
      <c r="V14" s="313">
        <v>33664</v>
      </c>
      <c r="W14" s="112">
        <v>0</v>
      </c>
      <c r="X14" s="112">
        <v>10559</v>
      </c>
      <c r="Y14" s="137">
        <v>0</v>
      </c>
      <c r="Z14" s="317">
        <v>5158</v>
      </c>
      <c r="AA14" s="112">
        <v>0</v>
      </c>
      <c r="AB14" s="112">
        <v>0</v>
      </c>
      <c r="AC14" s="112">
        <v>4391</v>
      </c>
      <c r="AD14" s="137">
        <v>0</v>
      </c>
      <c r="AE14" s="137">
        <v>339</v>
      </c>
      <c r="AF14" s="112">
        <v>0</v>
      </c>
      <c r="AG14" s="313">
        <v>2511</v>
      </c>
      <c r="AH14" s="112">
        <v>0</v>
      </c>
      <c r="AI14" s="313">
        <v>0</v>
      </c>
      <c r="AJ14" s="313">
        <v>0</v>
      </c>
      <c r="AK14" s="112"/>
      <c r="AL14" s="112">
        <v>476</v>
      </c>
      <c r="AM14" s="137">
        <v>0</v>
      </c>
      <c r="AN14" s="137">
        <v>1200</v>
      </c>
      <c r="AO14" s="112">
        <v>0</v>
      </c>
      <c r="AP14" s="112">
        <v>12000</v>
      </c>
      <c r="AQ14" s="137">
        <v>0</v>
      </c>
      <c r="AR14" s="137">
        <v>15600</v>
      </c>
      <c r="AS14" s="75">
        <f>SUM(M14:AR14)</f>
        <v>118427</v>
      </c>
      <c r="AT14" s="75"/>
      <c r="AU14" s="75">
        <v>33102</v>
      </c>
      <c r="AV14" s="75"/>
      <c r="AW14" s="83">
        <f>K14+AS14+AU14</f>
        <v>356093</v>
      </c>
    </row>
    <row r="15" spans="1:49" x14ac:dyDescent="0.25">
      <c r="A15" s="320">
        <v>50215</v>
      </c>
      <c r="B15" s="35" t="s">
        <v>45</v>
      </c>
      <c r="C15" s="75">
        <v>23616</v>
      </c>
      <c r="D15" s="75">
        <v>29316</v>
      </c>
      <c r="E15" s="75">
        <v>0</v>
      </c>
      <c r="F15" s="75">
        <v>250560</v>
      </c>
      <c r="G15" s="75">
        <v>64800</v>
      </c>
      <c r="H15" s="75">
        <v>85020</v>
      </c>
      <c r="I15" s="75">
        <v>27012</v>
      </c>
      <c r="J15" s="75">
        <v>32328</v>
      </c>
      <c r="K15" s="75">
        <f>+SUM(C15:J15)</f>
        <v>512652</v>
      </c>
      <c r="L15" s="75"/>
      <c r="M15" s="79">
        <v>0</v>
      </c>
      <c r="N15" s="79">
        <v>419794</v>
      </c>
      <c r="O15" s="112">
        <v>0</v>
      </c>
      <c r="P15" s="112">
        <v>24388</v>
      </c>
      <c r="Q15" s="137">
        <v>0</v>
      </c>
      <c r="R15" s="137">
        <v>1284</v>
      </c>
      <c r="S15" s="112">
        <v>0</v>
      </c>
      <c r="T15" s="137">
        <v>0</v>
      </c>
      <c r="U15" s="137">
        <v>57012</v>
      </c>
      <c r="V15" s="313">
        <v>110448</v>
      </c>
      <c r="W15" s="112">
        <v>0</v>
      </c>
      <c r="X15" s="112">
        <v>120312</v>
      </c>
      <c r="Y15" s="137">
        <v>0</v>
      </c>
      <c r="Z15" s="317">
        <v>50309</v>
      </c>
      <c r="AA15" s="112">
        <v>0</v>
      </c>
      <c r="AB15" s="112">
        <v>0</v>
      </c>
      <c r="AC15" s="112">
        <v>70621</v>
      </c>
      <c r="AD15" s="137">
        <v>0</v>
      </c>
      <c r="AE15" s="137">
        <v>5365</v>
      </c>
      <c r="AF15" s="112">
        <v>0</v>
      </c>
      <c r="AG15" s="313">
        <v>40666</v>
      </c>
      <c r="AH15" s="112">
        <v>0</v>
      </c>
      <c r="AI15" s="313">
        <v>0</v>
      </c>
      <c r="AJ15" s="313">
        <v>0</v>
      </c>
      <c r="AK15" s="112"/>
      <c r="AL15" s="112">
        <v>7465</v>
      </c>
      <c r="AM15" s="137">
        <v>0</v>
      </c>
      <c r="AN15" s="137">
        <f>123072+32489</f>
        <v>155561</v>
      </c>
      <c r="AO15" s="112">
        <v>0</v>
      </c>
      <c r="AP15" s="112">
        <v>182544</v>
      </c>
      <c r="AQ15" s="137">
        <v>0</v>
      </c>
      <c r="AR15" s="137">
        <v>201108</v>
      </c>
      <c r="AS15" s="75">
        <f>SUM(M15:AR15)</f>
        <v>1446877</v>
      </c>
      <c r="AT15" s="75"/>
      <c r="AU15" s="75">
        <v>71748</v>
      </c>
      <c r="AV15" s="75"/>
      <c r="AW15" s="83">
        <f>K15+AS15+AU15</f>
        <v>2031277</v>
      </c>
    </row>
    <row r="16" spans="1:49" x14ac:dyDescent="0.25">
      <c r="A16" s="320">
        <v>50225</v>
      </c>
      <c r="B16" s="35" t="s">
        <v>46</v>
      </c>
      <c r="C16" s="75">
        <v>4567</v>
      </c>
      <c r="D16" s="75">
        <v>1660</v>
      </c>
      <c r="E16" s="75">
        <v>0</v>
      </c>
      <c r="F16" s="75">
        <v>19184</v>
      </c>
      <c r="G16" s="75">
        <v>7124</v>
      </c>
      <c r="H16" s="75">
        <v>6704</v>
      </c>
      <c r="I16" s="75">
        <v>2632</v>
      </c>
      <c r="J16" s="75">
        <v>4068</v>
      </c>
      <c r="K16" s="75">
        <f>+SUM(C16:J16)</f>
        <v>45939</v>
      </c>
      <c r="L16" s="75"/>
      <c r="M16" s="79">
        <v>0</v>
      </c>
      <c r="N16" s="79">
        <v>4319</v>
      </c>
      <c r="O16" s="112">
        <v>0</v>
      </c>
      <c r="P16" s="112">
        <v>240</v>
      </c>
      <c r="Q16" s="137">
        <v>0</v>
      </c>
      <c r="R16" s="137">
        <v>16</v>
      </c>
      <c r="S16" s="112">
        <v>0</v>
      </c>
      <c r="T16" s="137">
        <v>0</v>
      </c>
      <c r="U16" s="137">
        <v>4422</v>
      </c>
      <c r="V16" s="313">
        <v>7568</v>
      </c>
      <c r="W16" s="112">
        <v>0</v>
      </c>
      <c r="X16" s="112">
        <v>1502</v>
      </c>
      <c r="Y16" s="137">
        <v>0</v>
      </c>
      <c r="Z16" s="317">
        <v>577</v>
      </c>
      <c r="AA16" s="112">
        <v>0</v>
      </c>
      <c r="AB16" s="112">
        <v>0</v>
      </c>
      <c r="AC16" s="112">
        <v>705</v>
      </c>
      <c r="AD16" s="137">
        <v>0</v>
      </c>
      <c r="AE16" s="137">
        <v>55</v>
      </c>
      <c r="AF16" s="112">
        <v>0</v>
      </c>
      <c r="AG16" s="313">
        <v>402</v>
      </c>
      <c r="AH16" s="112">
        <v>0</v>
      </c>
      <c r="AI16" s="313">
        <v>0</v>
      </c>
      <c r="AJ16" s="313">
        <v>0</v>
      </c>
      <c r="AK16" s="112"/>
      <c r="AL16" s="112">
        <v>79</v>
      </c>
      <c r="AM16" s="137">
        <v>0</v>
      </c>
      <c r="AN16" s="137">
        <v>8878</v>
      </c>
      <c r="AO16" s="112">
        <v>0</v>
      </c>
      <c r="AP16" s="112">
        <v>17910</v>
      </c>
      <c r="AQ16" s="137">
        <v>0</v>
      </c>
      <c r="AR16" s="137">
        <v>23446</v>
      </c>
      <c r="AS16" s="75">
        <f>SUM(M16:AR16)</f>
        <v>70119</v>
      </c>
      <c r="AT16" s="75"/>
      <c r="AU16" s="75">
        <v>7440</v>
      </c>
      <c r="AV16" s="75"/>
      <c r="AW16" s="83">
        <f>K16+AS16+AU16</f>
        <v>123498</v>
      </c>
    </row>
    <row r="17" spans="1:49" x14ac:dyDescent="0.25">
      <c r="A17" s="320">
        <v>50230</v>
      </c>
      <c r="B17" s="35" t="s">
        <v>47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f>+SUM(C17:J17)</f>
        <v>0</v>
      </c>
      <c r="L17" s="75"/>
      <c r="M17" s="79">
        <v>0</v>
      </c>
      <c r="N17" s="79">
        <v>5089</v>
      </c>
      <c r="O17" s="112">
        <v>0</v>
      </c>
      <c r="P17" s="112">
        <v>297</v>
      </c>
      <c r="Q17" s="137">
        <v>0</v>
      </c>
      <c r="R17" s="137">
        <v>14</v>
      </c>
      <c r="S17" s="112">
        <v>0</v>
      </c>
      <c r="T17" s="137">
        <v>0</v>
      </c>
      <c r="U17" s="137">
        <v>894</v>
      </c>
      <c r="V17" s="313">
        <v>0</v>
      </c>
      <c r="W17" s="112">
        <v>0</v>
      </c>
      <c r="X17" s="112">
        <v>1427</v>
      </c>
      <c r="Y17" s="137">
        <v>0</v>
      </c>
      <c r="Z17" s="317">
        <v>508</v>
      </c>
      <c r="AA17" s="112">
        <v>0</v>
      </c>
      <c r="AB17" s="112">
        <v>0</v>
      </c>
      <c r="AC17" s="112">
        <v>858</v>
      </c>
      <c r="AD17" s="137">
        <v>0</v>
      </c>
      <c r="AE17" s="137">
        <v>67</v>
      </c>
      <c r="AF17" s="112">
        <v>0</v>
      </c>
      <c r="AG17" s="313">
        <v>493</v>
      </c>
      <c r="AH17" s="112">
        <v>0</v>
      </c>
      <c r="AI17" s="313">
        <v>0</v>
      </c>
      <c r="AJ17" s="313">
        <v>0</v>
      </c>
      <c r="AK17" s="112"/>
      <c r="AL17" s="112">
        <v>92</v>
      </c>
      <c r="AM17" s="137">
        <v>0</v>
      </c>
      <c r="AN17" s="137">
        <v>1796</v>
      </c>
      <c r="AO17" s="112">
        <v>0</v>
      </c>
      <c r="AP17" s="112">
        <v>3618</v>
      </c>
      <c r="AQ17" s="137">
        <v>0</v>
      </c>
      <c r="AR17" s="137">
        <v>4740</v>
      </c>
      <c r="AS17" s="75">
        <f>SUM(M17:AR17)</f>
        <v>19893</v>
      </c>
      <c r="AT17" s="75"/>
      <c r="AU17" s="75">
        <v>0</v>
      </c>
      <c r="AV17" s="75"/>
      <c r="AW17" s="83">
        <f>K17+AS17+AU17</f>
        <v>19893</v>
      </c>
    </row>
    <row r="18" spans="1:49" x14ac:dyDescent="0.25">
      <c r="A18" s="320">
        <v>50231</v>
      </c>
      <c r="B18" s="35" t="s">
        <v>48</v>
      </c>
      <c r="C18" s="75">
        <v>1128</v>
      </c>
      <c r="D18" s="75">
        <v>1092</v>
      </c>
      <c r="E18" s="75">
        <v>0</v>
      </c>
      <c r="F18" s="75">
        <v>12732</v>
      </c>
      <c r="G18" s="75">
        <v>3912</v>
      </c>
      <c r="H18" s="75">
        <v>4704</v>
      </c>
      <c r="I18" s="75">
        <v>1752</v>
      </c>
      <c r="J18" s="75">
        <v>2532</v>
      </c>
      <c r="K18" s="75">
        <f>+SUM(C18:J18)</f>
        <v>27852</v>
      </c>
      <c r="L18" s="75"/>
      <c r="M18" s="79">
        <v>0</v>
      </c>
      <c r="N18" s="79">
        <v>21716</v>
      </c>
      <c r="O18" s="112">
        <v>0</v>
      </c>
      <c r="P18" s="112">
        <v>1289</v>
      </c>
      <c r="Q18" s="137">
        <v>0</v>
      </c>
      <c r="R18" s="137">
        <v>56</v>
      </c>
      <c r="S18" s="112">
        <v>0</v>
      </c>
      <c r="T18" s="137">
        <v>0</v>
      </c>
      <c r="U18" s="137">
        <v>1944</v>
      </c>
      <c r="V18" s="313">
        <v>5796</v>
      </c>
      <c r="W18" s="112">
        <v>0</v>
      </c>
      <c r="X18" s="112">
        <v>5533</v>
      </c>
      <c r="Y18" s="137">
        <v>0</v>
      </c>
      <c r="Z18" s="317">
        <v>1964</v>
      </c>
      <c r="AA18" s="112">
        <v>0</v>
      </c>
      <c r="AB18" s="112">
        <v>0</v>
      </c>
      <c r="AC18" s="112">
        <v>3706</v>
      </c>
      <c r="AD18" s="137">
        <v>0</v>
      </c>
      <c r="AE18" s="137">
        <v>280</v>
      </c>
      <c r="AF18" s="112">
        <v>0</v>
      </c>
      <c r="AG18" s="313">
        <v>2135</v>
      </c>
      <c r="AH18" s="112">
        <v>0</v>
      </c>
      <c r="AI18" s="313">
        <v>0</v>
      </c>
      <c r="AJ18" s="313">
        <v>0</v>
      </c>
      <c r="AK18" s="112"/>
      <c r="AL18" s="112">
        <v>390</v>
      </c>
      <c r="AM18" s="137">
        <v>0</v>
      </c>
      <c r="AN18" s="137">
        <v>4488</v>
      </c>
      <c r="AO18" s="112">
        <v>0</v>
      </c>
      <c r="AP18" s="112">
        <v>7608</v>
      </c>
      <c r="AQ18" s="137">
        <v>0</v>
      </c>
      <c r="AR18" s="137">
        <v>10092</v>
      </c>
      <c r="AS18" s="75">
        <f>SUM(M18:AR18)</f>
        <v>66997</v>
      </c>
      <c r="AT18" s="75"/>
      <c r="AU18" s="75">
        <v>4020</v>
      </c>
      <c r="AV18" s="75"/>
      <c r="AW18" s="83">
        <f>K18+AS18+AU18</f>
        <v>98869</v>
      </c>
    </row>
    <row r="19" spans="1:49" x14ac:dyDescent="0.25">
      <c r="A19" s="320">
        <v>50235</v>
      </c>
      <c r="B19" s="35" t="s">
        <v>49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f>+SUM(C19:J19)</f>
        <v>0</v>
      </c>
      <c r="L19" s="75"/>
      <c r="M19" s="79">
        <v>0</v>
      </c>
      <c r="N19" s="79">
        <v>5378</v>
      </c>
      <c r="O19" s="112">
        <v>0</v>
      </c>
      <c r="P19" s="112">
        <v>318</v>
      </c>
      <c r="Q19" s="137">
        <v>0</v>
      </c>
      <c r="R19" s="137">
        <v>15</v>
      </c>
      <c r="S19" s="112">
        <v>0</v>
      </c>
      <c r="T19" s="137">
        <v>0</v>
      </c>
      <c r="U19" s="137">
        <v>348</v>
      </c>
      <c r="V19" s="313">
        <v>0</v>
      </c>
      <c r="W19" s="112">
        <v>0</v>
      </c>
      <c r="X19" s="112">
        <v>1436</v>
      </c>
      <c r="Y19" s="137">
        <v>0</v>
      </c>
      <c r="Z19" s="317">
        <v>551</v>
      </c>
      <c r="AA19" s="112">
        <v>0</v>
      </c>
      <c r="AB19" s="112">
        <v>0</v>
      </c>
      <c r="AC19" s="112">
        <v>913</v>
      </c>
      <c r="AD19" s="137">
        <v>0</v>
      </c>
      <c r="AE19" s="137">
        <v>68</v>
      </c>
      <c r="AF19" s="112">
        <v>0</v>
      </c>
      <c r="AG19" s="313">
        <v>525</v>
      </c>
      <c r="AH19" s="112">
        <v>0</v>
      </c>
      <c r="AI19" s="313">
        <v>0</v>
      </c>
      <c r="AJ19" s="313">
        <v>0</v>
      </c>
      <c r="AK19" s="112"/>
      <c r="AL19" s="112">
        <v>96</v>
      </c>
      <c r="AM19" s="137">
        <v>0</v>
      </c>
      <c r="AN19" s="137">
        <v>1104</v>
      </c>
      <c r="AO19" s="112">
        <v>0</v>
      </c>
      <c r="AP19" s="112">
        <v>2064</v>
      </c>
      <c r="AQ19" s="137">
        <v>0</v>
      </c>
      <c r="AR19" s="137">
        <v>2412</v>
      </c>
      <c r="AS19" s="75">
        <f>SUM(M19:AR19)</f>
        <v>15228</v>
      </c>
      <c r="AT19" s="75"/>
      <c r="AU19" s="75">
        <v>0</v>
      </c>
      <c r="AV19" s="75"/>
      <c r="AW19" s="83">
        <f>K19+AS19+AU19</f>
        <v>15228</v>
      </c>
    </row>
    <row r="20" spans="1:49" x14ac:dyDescent="0.25">
      <c r="A20" s="320">
        <v>50245</v>
      </c>
      <c r="B20" s="35" t="s">
        <v>50</v>
      </c>
      <c r="C20" s="75">
        <v>9300</v>
      </c>
      <c r="D20" s="75">
        <v>0</v>
      </c>
      <c r="E20" s="75">
        <v>0</v>
      </c>
      <c r="F20" s="75">
        <v>6000</v>
      </c>
      <c r="G20" s="75">
        <v>3600</v>
      </c>
      <c r="H20" s="75">
        <v>0</v>
      </c>
      <c r="I20" s="75">
        <v>0</v>
      </c>
      <c r="J20" s="75">
        <v>0</v>
      </c>
      <c r="K20" s="75">
        <f>+SUM(C20:J20)</f>
        <v>18900</v>
      </c>
      <c r="L20" s="75"/>
      <c r="M20" s="79">
        <v>0</v>
      </c>
      <c r="N20" s="79">
        <v>0</v>
      </c>
      <c r="O20" s="112">
        <v>0</v>
      </c>
      <c r="P20" s="112">
        <v>0</v>
      </c>
      <c r="Q20" s="137">
        <v>0</v>
      </c>
      <c r="R20" s="137">
        <v>0</v>
      </c>
      <c r="S20" s="112">
        <v>0</v>
      </c>
      <c r="T20" s="137">
        <v>0</v>
      </c>
      <c r="U20" s="137">
        <v>0</v>
      </c>
      <c r="V20" s="313">
        <v>0</v>
      </c>
      <c r="W20" s="112">
        <v>0</v>
      </c>
      <c r="X20" s="112">
        <v>0</v>
      </c>
      <c r="Y20" s="137">
        <v>0</v>
      </c>
      <c r="Z20" s="317">
        <v>0</v>
      </c>
      <c r="AA20" s="112">
        <v>0</v>
      </c>
      <c r="AB20" s="112">
        <v>0</v>
      </c>
      <c r="AC20" s="112">
        <v>0</v>
      </c>
      <c r="AD20" s="137">
        <v>0</v>
      </c>
      <c r="AE20" s="137">
        <v>0</v>
      </c>
      <c r="AF20" s="112">
        <v>0</v>
      </c>
      <c r="AG20" s="313">
        <v>0</v>
      </c>
      <c r="AH20" s="112">
        <v>0</v>
      </c>
      <c r="AI20" s="313">
        <v>0</v>
      </c>
      <c r="AJ20" s="313">
        <v>0</v>
      </c>
      <c r="AK20" s="112"/>
      <c r="AL20" s="112"/>
      <c r="AM20" s="137">
        <v>0</v>
      </c>
      <c r="AN20" s="137">
        <v>0</v>
      </c>
      <c r="AO20" s="112">
        <v>0</v>
      </c>
      <c r="AP20" s="112">
        <v>0</v>
      </c>
      <c r="AQ20" s="137">
        <v>0</v>
      </c>
      <c r="AR20" s="137">
        <v>0</v>
      </c>
      <c r="AS20" s="75">
        <f>SUM(M20:AR20)</f>
        <v>0</v>
      </c>
      <c r="AT20" s="75"/>
      <c r="AU20" s="75">
        <v>2400</v>
      </c>
      <c r="AV20" s="75"/>
      <c r="AW20" s="83">
        <f>K20+AS20+AU20</f>
        <v>21300</v>
      </c>
    </row>
    <row r="21" spans="1:49" x14ac:dyDescent="0.25">
      <c r="A21" s="320">
        <v>50250</v>
      </c>
      <c r="B21" s="35" t="s">
        <v>51</v>
      </c>
      <c r="C21" s="75">
        <v>1860</v>
      </c>
      <c r="D21" s="75">
        <v>0</v>
      </c>
      <c r="E21" s="75">
        <v>0</v>
      </c>
      <c r="F21" s="75">
        <v>720</v>
      </c>
      <c r="G21" s="75">
        <v>2592</v>
      </c>
      <c r="H21" s="75">
        <v>2880</v>
      </c>
      <c r="I21" s="75">
        <v>0</v>
      </c>
      <c r="J21" s="75">
        <v>2160</v>
      </c>
      <c r="K21" s="75">
        <f>+SUM(C21:J21)</f>
        <v>10212</v>
      </c>
      <c r="L21" s="75"/>
      <c r="M21" s="79">
        <v>0</v>
      </c>
      <c r="N21" s="79">
        <v>0</v>
      </c>
      <c r="O21" s="112">
        <v>0</v>
      </c>
      <c r="P21" s="112">
        <v>0</v>
      </c>
      <c r="Q21" s="137">
        <v>0</v>
      </c>
      <c r="R21" s="137">
        <v>0</v>
      </c>
      <c r="S21" s="112">
        <v>0</v>
      </c>
      <c r="T21" s="137">
        <v>0</v>
      </c>
      <c r="U21" s="137">
        <v>0</v>
      </c>
      <c r="V21" s="313">
        <v>1584</v>
      </c>
      <c r="W21" s="112">
        <v>0</v>
      </c>
      <c r="X21" s="112">
        <v>0</v>
      </c>
      <c r="Y21" s="137">
        <v>0</v>
      </c>
      <c r="Z21" s="317">
        <v>0</v>
      </c>
      <c r="AA21" s="112">
        <v>0</v>
      </c>
      <c r="AB21" s="112">
        <v>0</v>
      </c>
      <c r="AC21" s="112">
        <v>0</v>
      </c>
      <c r="AD21" s="137">
        <v>0</v>
      </c>
      <c r="AE21" s="137">
        <v>0</v>
      </c>
      <c r="AF21" s="112">
        <v>0</v>
      </c>
      <c r="AG21" s="313">
        <v>0</v>
      </c>
      <c r="AH21" s="112">
        <v>0</v>
      </c>
      <c r="AI21" s="313">
        <v>0</v>
      </c>
      <c r="AJ21" s="313">
        <v>0</v>
      </c>
      <c r="AK21" s="112"/>
      <c r="AL21" s="112"/>
      <c r="AM21" s="137">
        <v>0</v>
      </c>
      <c r="AN21" s="137">
        <v>0</v>
      </c>
      <c r="AO21" s="112">
        <v>0</v>
      </c>
      <c r="AP21" s="112">
        <v>0</v>
      </c>
      <c r="AQ21" s="137">
        <v>0</v>
      </c>
      <c r="AR21" s="137">
        <v>0</v>
      </c>
      <c r="AS21" s="75">
        <f>SUM(M21:AR21)</f>
        <v>1584</v>
      </c>
      <c r="AT21" s="75"/>
      <c r="AU21" s="75">
        <v>2304</v>
      </c>
      <c r="AV21" s="75"/>
      <c r="AW21" s="83">
        <f>K21+AS21+AU21</f>
        <v>14100</v>
      </c>
    </row>
    <row r="22" spans="1:49" x14ac:dyDescent="0.25">
      <c r="A22" s="320">
        <v>50265</v>
      </c>
      <c r="B22" s="35" t="s">
        <v>52</v>
      </c>
      <c r="C22" s="75">
        <v>1008</v>
      </c>
      <c r="D22" s="75">
        <v>1260</v>
      </c>
      <c r="E22" s="75">
        <v>0</v>
      </c>
      <c r="F22" s="75">
        <v>10836</v>
      </c>
      <c r="G22" s="75">
        <v>2904</v>
      </c>
      <c r="H22" s="75">
        <v>3804</v>
      </c>
      <c r="I22" s="75">
        <v>1284</v>
      </c>
      <c r="J22" s="75">
        <v>1488</v>
      </c>
      <c r="K22" s="75">
        <f>+SUM(C22:J22)</f>
        <v>22584</v>
      </c>
      <c r="L22" s="75"/>
      <c r="M22" s="79">
        <v>0</v>
      </c>
      <c r="N22" s="79">
        <v>15566</v>
      </c>
      <c r="O22" s="112">
        <v>0</v>
      </c>
      <c r="P22" s="112">
        <v>919</v>
      </c>
      <c r="Q22" s="137">
        <v>0</v>
      </c>
      <c r="R22" s="137">
        <v>42</v>
      </c>
      <c r="S22" s="112">
        <v>0</v>
      </c>
      <c r="T22" s="137">
        <v>0</v>
      </c>
      <c r="U22" s="137">
        <v>684</v>
      </c>
      <c r="V22" s="313">
        <v>4860</v>
      </c>
      <c r="W22" s="112">
        <v>0</v>
      </c>
      <c r="X22" s="112">
        <v>4060</v>
      </c>
      <c r="Y22" s="137">
        <v>0</v>
      </c>
      <c r="Z22" s="317">
        <v>1487</v>
      </c>
      <c r="AA22" s="112">
        <v>0</v>
      </c>
      <c r="AB22" s="112">
        <v>0</v>
      </c>
      <c r="AC22" s="112">
        <v>2649</v>
      </c>
      <c r="AD22" s="137">
        <v>0</v>
      </c>
      <c r="AE22" s="137">
        <v>200</v>
      </c>
      <c r="AF22" s="112">
        <v>0</v>
      </c>
      <c r="AG22" s="313">
        <v>1526</v>
      </c>
      <c r="AH22" s="112">
        <v>0</v>
      </c>
      <c r="AI22" s="313">
        <v>0</v>
      </c>
      <c r="AJ22" s="313">
        <v>0</v>
      </c>
      <c r="AK22" s="112"/>
      <c r="AL22" s="112">
        <v>279</v>
      </c>
      <c r="AM22" s="137">
        <v>0</v>
      </c>
      <c r="AN22" s="137">
        <v>2412</v>
      </c>
      <c r="AO22" s="112">
        <v>0</v>
      </c>
      <c r="AP22" s="112">
        <v>4752</v>
      </c>
      <c r="AQ22" s="137">
        <v>0</v>
      </c>
      <c r="AR22" s="137">
        <v>4992</v>
      </c>
      <c r="AS22" s="75">
        <f>SUM(M22:AR22)</f>
        <v>44428</v>
      </c>
      <c r="AT22" s="75"/>
      <c r="AU22" s="75">
        <v>3156</v>
      </c>
      <c r="AV22" s="75"/>
      <c r="AW22" s="83">
        <f>K22+AS22+AU22</f>
        <v>70168</v>
      </c>
    </row>
    <row r="23" spans="1:49" s="13" customFormat="1" x14ac:dyDescent="0.25">
      <c r="A23" s="27"/>
      <c r="B23" s="121" t="s">
        <v>53</v>
      </c>
      <c r="C23" s="78">
        <f t="shared" ref="C23:AU23" si="2">SUM(C9:C22)</f>
        <v>371183</v>
      </c>
      <c r="D23" s="78">
        <f t="shared" si="2"/>
        <v>148456</v>
      </c>
      <c r="E23" s="78">
        <f t="shared" si="2"/>
        <v>0</v>
      </c>
      <c r="F23" s="78">
        <f t="shared" si="2"/>
        <v>1628553</v>
      </c>
      <c r="G23" s="78">
        <f t="shared" si="2"/>
        <v>578316</v>
      </c>
      <c r="H23" s="78">
        <f t="shared" si="2"/>
        <v>567535</v>
      </c>
      <c r="I23" s="78">
        <f t="shared" si="2"/>
        <v>224247</v>
      </c>
      <c r="J23" s="78">
        <f t="shared" si="2"/>
        <v>324221</v>
      </c>
      <c r="K23" s="78">
        <f t="shared" si="2"/>
        <v>3842511</v>
      </c>
      <c r="L23" s="97"/>
      <c r="M23" s="78">
        <f t="shared" si="2"/>
        <v>0</v>
      </c>
      <c r="N23" s="78">
        <f>SUM(N9:N22)</f>
        <v>1799087</v>
      </c>
      <c r="O23" s="78">
        <f>SUM(O9:O22)</f>
        <v>0</v>
      </c>
      <c r="P23" s="78">
        <f>SUM(P9:P22)</f>
        <v>105046</v>
      </c>
      <c r="Q23" s="78">
        <f>SUM(Q9:Q22)</f>
        <v>0</v>
      </c>
      <c r="R23" s="78">
        <f>SUM(R9:R22)</f>
        <v>5228</v>
      </c>
      <c r="S23" s="78">
        <f>SUM(S9:S22)</f>
        <v>0</v>
      </c>
      <c r="T23" s="78">
        <f t="shared" si="2"/>
        <v>0</v>
      </c>
      <c r="U23" s="78">
        <f t="shared" si="2"/>
        <v>220850</v>
      </c>
      <c r="V23" s="316">
        <f t="shared" si="2"/>
        <v>654537</v>
      </c>
      <c r="W23" s="78">
        <f t="shared" si="2"/>
        <v>0</v>
      </c>
      <c r="X23" s="78">
        <f t="shared" si="2"/>
        <v>502676</v>
      </c>
      <c r="Y23" s="78">
        <f t="shared" si="2"/>
        <v>0</v>
      </c>
      <c r="Z23" s="316">
        <f t="shared" si="2"/>
        <v>193638</v>
      </c>
      <c r="AA23" s="78">
        <f t="shared" si="2"/>
        <v>0</v>
      </c>
      <c r="AB23" s="78">
        <f t="shared" si="2"/>
        <v>0</v>
      </c>
      <c r="AC23" s="78">
        <f t="shared" si="2"/>
        <v>303537</v>
      </c>
      <c r="AD23" s="78">
        <f t="shared" si="2"/>
        <v>0</v>
      </c>
      <c r="AE23" s="78">
        <f t="shared" si="2"/>
        <v>23115</v>
      </c>
      <c r="AF23" s="78">
        <f t="shared" si="2"/>
        <v>0</v>
      </c>
      <c r="AG23" s="316">
        <f t="shared" si="2"/>
        <v>174568</v>
      </c>
      <c r="AH23" s="78">
        <f t="shared" ref="AH23:AJ23" si="3">SUM(AH9:AH22)</f>
        <v>0</v>
      </c>
      <c r="AI23" s="78">
        <f t="shared" si="3"/>
        <v>0</v>
      </c>
      <c r="AJ23" s="78">
        <f t="shared" si="3"/>
        <v>0</v>
      </c>
      <c r="AK23" s="78">
        <f t="shared" si="2"/>
        <v>0</v>
      </c>
      <c r="AL23" s="78">
        <f t="shared" si="2"/>
        <v>32164</v>
      </c>
      <c r="AM23" s="78">
        <f t="shared" si="2"/>
        <v>0</v>
      </c>
      <c r="AN23" s="78">
        <f t="shared" si="2"/>
        <v>538749</v>
      </c>
      <c r="AO23" s="78">
        <f t="shared" si="2"/>
        <v>0</v>
      </c>
      <c r="AP23" s="78">
        <f>SUM(AP9:AP22)</f>
        <v>834931</v>
      </c>
      <c r="AQ23" s="78">
        <f>SUM(AQ9:AQ22)</f>
        <v>0</v>
      </c>
      <c r="AR23" s="78">
        <f>SUM(AR9:AR22)</f>
        <v>1053718</v>
      </c>
      <c r="AS23" s="78">
        <f t="shared" si="2"/>
        <v>6441844</v>
      </c>
      <c r="AT23" s="97"/>
      <c r="AU23" s="78">
        <f t="shared" si="2"/>
        <v>606595</v>
      </c>
      <c r="AV23" s="97"/>
      <c r="AW23" s="100">
        <f>SUM(AW9:AW22)</f>
        <v>10890950</v>
      </c>
    </row>
    <row r="24" spans="1:49" x14ac:dyDescent="0.25">
      <c r="B24" s="320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9"/>
      <c r="N24" s="79"/>
      <c r="O24" s="112"/>
      <c r="P24" s="112"/>
      <c r="Q24" s="137"/>
      <c r="R24" s="137"/>
      <c r="S24" s="112"/>
      <c r="T24" s="137"/>
      <c r="U24" s="137"/>
      <c r="V24" s="313"/>
      <c r="W24" s="112"/>
      <c r="X24" s="112"/>
      <c r="Y24" s="137"/>
      <c r="Z24" s="317"/>
      <c r="AA24" s="112"/>
      <c r="AB24" s="112"/>
      <c r="AC24" s="112"/>
      <c r="AD24" s="137"/>
      <c r="AE24" s="137"/>
      <c r="AF24" s="112"/>
      <c r="AG24" s="313"/>
      <c r="AH24" s="112"/>
      <c r="AI24" s="313"/>
      <c r="AJ24" s="313"/>
      <c r="AK24" s="112"/>
      <c r="AL24" s="112"/>
      <c r="AM24" s="137"/>
      <c r="AN24" s="137"/>
      <c r="AO24" s="112"/>
      <c r="AP24" s="112"/>
      <c r="AQ24" s="137"/>
      <c r="AR24" s="137"/>
      <c r="AS24" s="112"/>
      <c r="AT24" s="75"/>
      <c r="AU24" s="75"/>
      <c r="AV24" s="75"/>
      <c r="AW24" s="83"/>
    </row>
    <row r="25" spans="1:49" x14ac:dyDescent="0.25">
      <c r="A25" s="320">
        <v>50301</v>
      </c>
      <c r="B25" s="35" t="s">
        <v>54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f>+SUM(C25:J25)</f>
        <v>0</v>
      </c>
      <c r="L25" s="75"/>
      <c r="M25" s="79">
        <v>0</v>
      </c>
      <c r="N25" s="79">
        <v>0</v>
      </c>
      <c r="O25" s="112">
        <v>0</v>
      </c>
      <c r="P25" s="112">
        <v>0</v>
      </c>
      <c r="Q25" s="137">
        <v>0</v>
      </c>
      <c r="R25" s="137">
        <v>0</v>
      </c>
      <c r="S25" s="112">
        <v>0</v>
      </c>
      <c r="T25" s="137">
        <v>0</v>
      </c>
      <c r="U25" s="137">
        <v>0</v>
      </c>
      <c r="V25" s="313">
        <v>0</v>
      </c>
      <c r="W25" s="112">
        <v>0</v>
      </c>
      <c r="X25" s="112">
        <v>0</v>
      </c>
      <c r="Y25" s="137">
        <v>0</v>
      </c>
      <c r="Z25" s="137">
        <v>0</v>
      </c>
      <c r="AA25" s="112">
        <v>0</v>
      </c>
      <c r="AB25" s="112">
        <v>0</v>
      </c>
      <c r="AC25" s="112">
        <v>0</v>
      </c>
      <c r="AD25" s="137">
        <v>0</v>
      </c>
      <c r="AE25" s="137">
        <v>0</v>
      </c>
      <c r="AF25" s="112">
        <v>0</v>
      </c>
      <c r="AG25" s="313">
        <v>0</v>
      </c>
      <c r="AH25" s="112">
        <v>0</v>
      </c>
      <c r="AI25" s="313">
        <v>0</v>
      </c>
      <c r="AJ25" s="313">
        <v>0</v>
      </c>
      <c r="AK25" s="112"/>
      <c r="AL25" s="112"/>
      <c r="AM25" s="137">
        <v>0</v>
      </c>
      <c r="AN25" s="137">
        <v>0</v>
      </c>
      <c r="AO25" s="112">
        <v>0</v>
      </c>
      <c r="AP25" s="112">
        <v>0</v>
      </c>
      <c r="AQ25" s="137">
        <v>0</v>
      </c>
      <c r="AR25" s="137">
        <v>0</v>
      </c>
      <c r="AS25" s="112">
        <f>SUM(M25:AR25)</f>
        <v>0</v>
      </c>
      <c r="AT25" s="75"/>
      <c r="AU25" s="75">
        <v>0</v>
      </c>
      <c r="AV25" s="75"/>
      <c r="AW25" s="83">
        <f>K25+AS25+AU25</f>
        <v>0</v>
      </c>
    </row>
    <row r="26" spans="1:49" x14ac:dyDescent="0.25">
      <c r="A26" s="320">
        <v>50302</v>
      </c>
      <c r="B26" s="35" t="s">
        <v>55</v>
      </c>
      <c r="C26" s="75">
        <v>0</v>
      </c>
      <c r="D26" s="75">
        <v>0</v>
      </c>
      <c r="E26" s="75">
        <v>0</v>
      </c>
      <c r="F26" s="112">
        <v>1000</v>
      </c>
      <c r="G26" s="112">
        <v>0</v>
      </c>
      <c r="H26" s="112">
        <f>90000+130000</f>
        <v>220000</v>
      </c>
      <c r="I26" s="112">
        <v>7500</v>
      </c>
      <c r="J26" s="112">
        <v>0</v>
      </c>
      <c r="K26" s="75">
        <f>+SUM(C26:J26)</f>
        <v>228500</v>
      </c>
      <c r="L26" s="75"/>
      <c r="M26" s="79">
        <v>0</v>
      </c>
      <c r="N26" s="79">
        <v>0</v>
      </c>
      <c r="O26" s="112">
        <v>0</v>
      </c>
      <c r="P26" s="112">
        <v>0</v>
      </c>
      <c r="Q26" s="137">
        <v>0</v>
      </c>
      <c r="R26" s="137">
        <v>0</v>
      </c>
      <c r="S26" s="112">
        <v>0</v>
      </c>
      <c r="T26" s="137">
        <v>0</v>
      </c>
      <c r="U26" s="137">
        <v>3000</v>
      </c>
      <c r="V26" s="313">
        <v>0</v>
      </c>
      <c r="W26" s="112">
        <v>0</v>
      </c>
      <c r="X26" s="112">
        <v>0</v>
      </c>
      <c r="Y26" s="137">
        <v>0</v>
      </c>
      <c r="Z26" s="137">
        <v>0</v>
      </c>
      <c r="AA26" s="112">
        <v>0</v>
      </c>
      <c r="AB26" s="112">
        <v>0</v>
      </c>
      <c r="AC26" s="112">
        <v>0</v>
      </c>
      <c r="AD26" s="137">
        <v>0</v>
      </c>
      <c r="AE26" s="137">
        <v>0</v>
      </c>
      <c r="AF26" s="112">
        <v>0</v>
      </c>
      <c r="AG26" s="313">
        <v>0</v>
      </c>
      <c r="AH26" s="112">
        <v>0</v>
      </c>
      <c r="AI26" s="313">
        <v>0</v>
      </c>
      <c r="AJ26" s="313">
        <v>0</v>
      </c>
      <c r="AK26" s="112"/>
      <c r="AL26" s="112"/>
      <c r="AM26" s="137">
        <v>0</v>
      </c>
      <c r="AN26" s="137">
        <v>0</v>
      </c>
      <c r="AO26" s="112">
        <v>0</v>
      </c>
      <c r="AP26" s="112">
        <v>0</v>
      </c>
      <c r="AQ26" s="137">
        <v>0</v>
      </c>
      <c r="AR26" s="137">
        <v>0</v>
      </c>
      <c r="AS26" s="112">
        <f>SUM(M26:AR26)</f>
        <v>3000</v>
      </c>
      <c r="AT26" s="75"/>
      <c r="AU26" s="75">
        <v>0</v>
      </c>
      <c r="AV26" s="75"/>
      <c r="AW26" s="118">
        <f>K26+AS26+AU26</f>
        <v>231500</v>
      </c>
    </row>
    <row r="27" spans="1:49" x14ac:dyDescent="0.25">
      <c r="A27" s="320">
        <v>50305</v>
      </c>
      <c r="B27" s="35" t="s">
        <v>56</v>
      </c>
      <c r="C27" s="75">
        <v>0</v>
      </c>
      <c r="D27" s="75">
        <v>0</v>
      </c>
      <c r="E27" s="75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75">
        <f>+SUM(C27:J27)</f>
        <v>0</v>
      </c>
      <c r="L27" s="75"/>
      <c r="M27" s="79">
        <v>0</v>
      </c>
      <c r="N27" s="79">
        <v>0</v>
      </c>
      <c r="O27" s="112">
        <v>0</v>
      </c>
      <c r="P27" s="112">
        <v>0</v>
      </c>
      <c r="Q27" s="137">
        <v>0</v>
      </c>
      <c r="R27" s="137">
        <v>0</v>
      </c>
      <c r="S27" s="112">
        <v>0</v>
      </c>
      <c r="T27" s="137">
        <v>0</v>
      </c>
      <c r="U27" s="137">
        <v>0</v>
      </c>
      <c r="V27" s="313">
        <v>0</v>
      </c>
      <c r="W27" s="112">
        <v>0</v>
      </c>
      <c r="X27" s="112">
        <v>0</v>
      </c>
      <c r="Y27" s="137">
        <v>0</v>
      </c>
      <c r="Z27" s="137">
        <v>0</v>
      </c>
      <c r="AA27" s="112">
        <v>0</v>
      </c>
      <c r="AB27" s="112">
        <v>0</v>
      </c>
      <c r="AC27" s="112">
        <v>0</v>
      </c>
      <c r="AD27" s="137">
        <v>0</v>
      </c>
      <c r="AE27" s="137">
        <v>0</v>
      </c>
      <c r="AF27" s="112">
        <v>0</v>
      </c>
      <c r="AG27" s="313">
        <v>0</v>
      </c>
      <c r="AH27" s="112">
        <v>0</v>
      </c>
      <c r="AI27" s="313">
        <v>0</v>
      </c>
      <c r="AJ27" s="313">
        <v>0</v>
      </c>
      <c r="AK27" s="112"/>
      <c r="AL27" s="112"/>
      <c r="AM27" s="137">
        <v>0</v>
      </c>
      <c r="AN27" s="137">
        <v>0</v>
      </c>
      <c r="AO27" s="112">
        <v>0</v>
      </c>
      <c r="AP27" s="112">
        <v>0</v>
      </c>
      <c r="AQ27" s="137">
        <v>4800</v>
      </c>
      <c r="AR27" s="137">
        <v>0</v>
      </c>
      <c r="AS27" s="112">
        <f>SUM(M27:AR27)</f>
        <v>4800</v>
      </c>
      <c r="AT27" s="75"/>
      <c r="AU27" s="75">
        <v>0</v>
      </c>
      <c r="AV27" s="75"/>
      <c r="AW27" s="118">
        <f>K27+AS27+AU27</f>
        <v>4800</v>
      </c>
    </row>
    <row r="28" spans="1:49" x14ac:dyDescent="0.25">
      <c r="A28" s="320">
        <v>50306</v>
      </c>
      <c r="B28" s="35" t="s">
        <v>57</v>
      </c>
      <c r="C28" s="75">
        <v>0</v>
      </c>
      <c r="D28" s="75">
        <v>0</v>
      </c>
      <c r="E28" s="75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75">
        <f>+SUM(C28:J28)</f>
        <v>0</v>
      </c>
      <c r="L28" s="75"/>
      <c r="M28" s="79">
        <v>0</v>
      </c>
      <c r="N28" s="79">
        <v>6173</v>
      </c>
      <c r="O28" s="112">
        <v>0</v>
      </c>
      <c r="P28" s="112">
        <v>514</v>
      </c>
      <c r="Q28" s="137">
        <v>0</v>
      </c>
      <c r="R28" s="137">
        <v>38</v>
      </c>
      <c r="S28" s="112">
        <v>0</v>
      </c>
      <c r="T28" s="137">
        <v>0</v>
      </c>
      <c r="U28" s="137">
        <v>0</v>
      </c>
      <c r="V28" s="313">
        <v>0</v>
      </c>
      <c r="W28" s="112">
        <v>0</v>
      </c>
      <c r="X28" s="112">
        <v>2219</v>
      </c>
      <c r="Y28" s="137">
        <v>0</v>
      </c>
      <c r="Z28" s="137">
        <v>990</v>
      </c>
      <c r="AA28" s="112">
        <v>0</v>
      </c>
      <c r="AB28" s="112">
        <v>0</v>
      </c>
      <c r="AC28" s="112">
        <v>1175</v>
      </c>
      <c r="AD28" s="137">
        <v>0</v>
      </c>
      <c r="AE28" s="137">
        <v>99</v>
      </c>
      <c r="AF28" s="112">
        <v>0</v>
      </c>
      <c r="AG28" s="313">
        <v>632</v>
      </c>
      <c r="AH28" s="112">
        <v>0</v>
      </c>
      <c r="AI28" s="313">
        <v>0</v>
      </c>
      <c r="AJ28" s="313">
        <v>0</v>
      </c>
      <c r="AK28" s="112"/>
      <c r="AL28" s="112">
        <v>374</v>
      </c>
      <c r="AM28" s="137">
        <v>0</v>
      </c>
      <c r="AN28" s="137">
        <v>0</v>
      </c>
      <c r="AO28" s="112">
        <v>0</v>
      </c>
      <c r="AP28" s="112">
        <v>4260</v>
      </c>
      <c r="AQ28" s="137">
        <v>0</v>
      </c>
      <c r="AR28" s="137">
        <v>9900</v>
      </c>
      <c r="AS28" s="112">
        <f>SUM(M28:AR28)</f>
        <v>26374</v>
      </c>
      <c r="AT28" s="75"/>
      <c r="AU28" s="75">
        <v>0</v>
      </c>
      <c r="AV28" s="75"/>
      <c r="AW28" s="118">
        <f>K28+AS28+AU28</f>
        <v>26374</v>
      </c>
    </row>
    <row r="29" spans="1:49" x14ac:dyDescent="0.25">
      <c r="A29" s="320">
        <v>50307</v>
      </c>
      <c r="B29" s="35" t="s">
        <v>58</v>
      </c>
      <c r="C29" s="75">
        <v>0</v>
      </c>
      <c r="D29" s="75">
        <v>0</v>
      </c>
      <c r="E29" s="75">
        <v>0</v>
      </c>
      <c r="F29" s="112">
        <v>6000</v>
      </c>
      <c r="G29" s="112">
        <v>0</v>
      </c>
      <c r="H29" s="112">
        <v>0</v>
      </c>
      <c r="I29" s="112">
        <v>12000</v>
      </c>
      <c r="J29" s="112">
        <v>0</v>
      </c>
      <c r="K29" s="75">
        <f>+SUM(C29:J29)</f>
        <v>18000</v>
      </c>
      <c r="L29" s="75"/>
      <c r="M29" s="79">
        <v>0</v>
      </c>
      <c r="N29" s="79">
        <v>0</v>
      </c>
      <c r="O29" s="112">
        <v>0</v>
      </c>
      <c r="P29" s="112">
        <v>0</v>
      </c>
      <c r="Q29" s="137">
        <v>0</v>
      </c>
      <c r="R29" s="137">
        <v>0</v>
      </c>
      <c r="S29" s="112">
        <v>0</v>
      </c>
      <c r="T29" s="137">
        <v>0</v>
      </c>
      <c r="U29" s="137">
        <v>52392</v>
      </c>
      <c r="V29" s="313">
        <v>0</v>
      </c>
      <c r="W29" s="112">
        <v>0</v>
      </c>
      <c r="X29" s="112">
        <v>0</v>
      </c>
      <c r="Y29" s="137">
        <v>0</v>
      </c>
      <c r="Z29" s="137">
        <v>0</v>
      </c>
      <c r="AA29" s="112">
        <v>0</v>
      </c>
      <c r="AB29" s="112">
        <v>0</v>
      </c>
      <c r="AC29" s="112">
        <v>0</v>
      </c>
      <c r="AD29" s="137">
        <v>0</v>
      </c>
      <c r="AE29" s="137">
        <v>0</v>
      </c>
      <c r="AF29" s="112">
        <v>0</v>
      </c>
      <c r="AG29" s="313">
        <v>0</v>
      </c>
      <c r="AH29" s="112">
        <v>0</v>
      </c>
      <c r="AI29" s="313">
        <v>0</v>
      </c>
      <c r="AJ29" s="313">
        <v>0</v>
      </c>
      <c r="AK29" s="112"/>
      <c r="AL29" s="112"/>
      <c r="AM29" s="137">
        <v>0</v>
      </c>
      <c r="AN29" s="137">
        <v>0</v>
      </c>
      <c r="AO29" s="112">
        <v>0</v>
      </c>
      <c r="AP29" s="112">
        <v>0</v>
      </c>
      <c r="AQ29" s="137">
        <v>0</v>
      </c>
      <c r="AR29" s="137">
        <v>0</v>
      </c>
      <c r="AS29" s="112">
        <f>SUM(M29:AR29)</f>
        <v>52392</v>
      </c>
      <c r="AT29" s="75"/>
      <c r="AU29" s="75">
        <v>240000</v>
      </c>
      <c r="AV29" s="75"/>
      <c r="AW29" s="118">
        <f>K29+AS29+AU29</f>
        <v>310392</v>
      </c>
    </row>
    <row r="30" spans="1:49" x14ac:dyDescent="0.25">
      <c r="A30" s="320">
        <v>50308</v>
      </c>
      <c r="B30" s="35" t="s">
        <v>59</v>
      </c>
      <c r="C30" s="75">
        <v>0</v>
      </c>
      <c r="D30" s="75">
        <v>0</v>
      </c>
      <c r="E30" s="75">
        <v>0</v>
      </c>
      <c r="F30" s="112">
        <v>33420</v>
      </c>
      <c r="G30" s="112">
        <v>0</v>
      </c>
      <c r="H30" s="112">
        <v>0</v>
      </c>
      <c r="I30" s="112">
        <v>0</v>
      </c>
      <c r="J30" s="112">
        <v>0</v>
      </c>
      <c r="K30" s="75">
        <f>+SUM(C30:J30)</f>
        <v>33420</v>
      </c>
      <c r="L30" s="75"/>
      <c r="M30" s="79">
        <v>0</v>
      </c>
      <c r="N30" s="79">
        <v>0</v>
      </c>
      <c r="O30" s="112">
        <v>0</v>
      </c>
      <c r="P30" s="112">
        <v>0</v>
      </c>
      <c r="Q30" s="137">
        <v>0</v>
      </c>
      <c r="R30" s="137">
        <v>0</v>
      </c>
      <c r="S30" s="112">
        <v>0</v>
      </c>
      <c r="T30" s="137">
        <v>0</v>
      </c>
      <c r="U30" s="137">
        <v>0</v>
      </c>
      <c r="V30" s="313">
        <v>0</v>
      </c>
      <c r="W30" s="112">
        <v>0</v>
      </c>
      <c r="X30" s="112">
        <v>0</v>
      </c>
      <c r="Y30" s="137">
        <v>0</v>
      </c>
      <c r="Z30" s="137">
        <v>0</v>
      </c>
      <c r="AA30" s="112">
        <v>0</v>
      </c>
      <c r="AB30" s="112">
        <v>0</v>
      </c>
      <c r="AC30" s="112">
        <v>0</v>
      </c>
      <c r="AD30" s="137">
        <v>0</v>
      </c>
      <c r="AE30" s="137">
        <v>0</v>
      </c>
      <c r="AF30" s="112">
        <v>0</v>
      </c>
      <c r="AG30" s="313">
        <v>0</v>
      </c>
      <c r="AH30" s="112">
        <v>0</v>
      </c>
      <c r="AI30" s="313">
        <v>0</v>
      </c>
      <c r="AJ30" s="313">
        <v>0</v>
      </c>
      <c r="AK30" s="112"/>
      <c r="AL30" s="112"/>
      <c r="AM30" s="137">
        <v>0</v>
      </c>
      <c r="AN30" s="137">
        <v>0</v>
      </c>
      <c r="AO30" s="112">
        <v>0</v>
      </c>
      <c r="AP30" s="112">
        <v>0</v>
      </c>
      <c r="AQ30" s="137">
        <v>0</v>
      </c>
      <c r="AR30" s="137">
        <v>0</v>
      </c>
      <c r="AS30" s="112">
        <f>SUM(M30:AR30)</f>
        <v>0</v>
      </c>
      <c r="AT30" s="75"/>
      <c r="AU30" s="75">
        <v>0</v>
      </c>
      <c r="AV30" s="75"/>
      <c r="AW30" s="118">
        <f>K30+AS30+AU30</f>
        <v>33420</v>
      </c>
    </row>
    <row r="31" spans="1:49" x14ac:dyDescent="0.25">
      <c r="A31" s="320">
        <v>50309</v>
      </c>
      <c r="B31" s="35" t="s">
        <v>60</v>
      </c>
      <c r="C31" s="75">
        <v>182000</v>
      </c>
      <c r="D31" s="75">
        <v>0</v>
      </c>
      <c r="E31" s="75">
        <v>302668</v>
      </c>
      <c r="F31" s="112">
        <f>146000+120000</f>
        <v>266000</v>
      </c>
      <c r="G31" s="112">
        <v>50000</v>
      </c>
      <c r="H31" s="112">
        <f>91500+54500</f>
        <v>146000</v>
      </c>
      <c r="I31" s="112">
        <v>130000</v>
      </c>
      <c r="J31" s="112">
        <f>69200+124800</f>
        <v>194000</v>
      </c>
      <c r="K31" s="75">
        <f>+SUM(C31:J31)</f>
        <v>1270668</v>
      </c>
      <c r="L31" s="75"/>
      <c r="M31" s="79">
        <v>0</v>
      </c>
      <c r="N31" s="79">
        <v>0</v>
      </c>
      <c r="O31" s="112">
        <v>0</v>
      </c>
      <c r="P31" s="112">
        <v>0</v>
      </c>
      <c r="Q31" s="137">
        <v>0</v>
      </c>
      <c r="R31" s="137">
        <v>0</v>
      </c>
      <c r="S31" s="112">
        <v>0</v>
      </c>
      <c r="T31" s="137">
        <f>229000+(100000*75%)+75000</f>
        <v>379000</v>
      </c>
      <c r="U31" s="137">
        <v>300776</v>
      </c>
      <c r="V31" s="313">
        <v>0</v>
      </c>
      <c r="W31" s="112">
        <v>0</v>
      </c>
      <c r="X31" s="112">
        <v>0</v>
      </c>
      <c r="Y31" s="137">
        <v>0</v>
      </c>
      <c r="Z31" s="137">
        <v>0</v>
      </c>
      <c r="AA31" s="112">
        <v>0</v>
      </c>
      <c r="AB31" s="112">
        <v>0</v>
      </c>
      <c r="AC31" s="112">
        <v>0</v>
      </c>
      <c r="AD31" s="137">
        <v>0</v>
      </c>
      <c r="AE31" s="137">
        <v>0</v>
      </c>
      <c r="AF31" s="112">
        <v>0</v>
      </c>
      <c r="AG31" s="313">
        <v>0</v>
      </c>
      <c r="AH31" s="112">
        <v>0</v>
      </c>
      <c r="AI31" s="313">
        <v>0</v>
      </c>
      <c r="AJ31" s="313">
        <v>0</v>
      </c>
      <c r="AK31" s="112"/>
      <c r="AL31" s="112"/>
      <c r="AM31" s="137">
        <v>101600</v>
      </c>
      <c r="AN31" s="137">
        <v>0</v>
      </c>
      <c r="AO31" s="112">
        <v>0</v>
      </c>
      <c r="AP31" s="112">
        <v>0</v>
      </c>
      <c r="AQ31" s="137">
        <v>0</v>
      </c>
      <c r="AR31" s="137">
        <v>0</v>
      </c>
      <c r="AS31" s="112">
        <f>SUM(M31:AR31)</f>
        <v>781376</v>
      </c>
      <c r="AT31" s="75"/>
      <c r="AU31" s="112">
        <f>155000+(100000*25%)</f>
        <v>180000</v>
      </c>
      <c r="AV31" s="75"/>
      <c r="AW31" s="118">
        <f>K31+AS31+AU31</f>
        <v>2232044</v>
      </c>
    </row>
    <row r="32" spans="1:49" x14ac:dyDescent="0.25">
      <c r="A32" s="320">
        <v>50310</v>
      </c>
      <c r="B32" s="35" t="s">
        <v>61</v>
      </c>
      <c r="C32" s="75">
        <v>0</v>
      </c>
      <c r="D32" s="75">
        <v>27300</v>
      </c>
      <c r="E32" s="75"/>
      <c r="F32" s="112">
        <v>100000</v>
      </c>
      <c r="G32" s="112">
        <v>0</v>
      </c>
      <c r="H32" s="112">
        <v>4500</v>
      </c>
      <c r="I32" s="112">
        <v>1000</v>
      </c>
      <c r="J32" s="112">
        <v>0</v>
      </c>
      <c r="K32" s="75">
        <f>+SUM(C32:J32)</f>
        <v>132800</v>
      </c>
      <c r="L32" s="75"/>
      <c r="M32" s="79">
        <v>0</v>
      </c>
      <c r="N32" s="79">
        <v>0</v>
      </c>
      <c r="O32" s="112">
        <v>0</v>
      </c>
      <c r="P32" s="112">
        <v>0</v>
      </c>
      <c r="Q32" s="137">
        <v>0</v>
      </c>
      <c r="R32" s="137">
        <v>0</v>
      </c>
      <c r="S32" s="112">
        <v>0</v>
      </c>
      <c r="T32" s="137">
        <v>8664</v>
      </c>
      <c r="U32" s="137">
        <v>25428</v>
      </c>
      <c r="V32" s="313">
        <v>0</v>
      </c>
      <c r="W32" s="112">
        <v>0</v>
      </c>
      <c r="X32" s="112">
        <v>0</v>
      </c>
      <c r="Y32" s="137">
        <v>0</v>
      </c>
      <c r="Z32" s="137">
        <v>0</v>
      </c>
      <c r="AA32" s="112">
        <v>0</v>
      </c>
      <c r="AB32" s="112">
        <v>0</v>
      </c>
      <c r="AC32" s="112">
        <v>0</v>
      </c>
      <c r="AD32" s="137">
        <v>0</v>
      </c>
      <c r="AE32" s="137">
        <v>0</v>
      </c>
      <c r="AF32" s="112">
        <v>0</v>
      </c>
      <c r="AG32" s="313">
        <v>0</v>
      </c>
      <c r="AH32" s="112">
        <v>0</v>
      </c>
      <c r="AI32" s="313">
        <v>0</v>
      </c>
      <c r="AJ32" s="313">
        <v>0</v>
      </c>
      <c r="AK32" s="112"/>
      <c r="AL32" s="112"/>
      <c r="AM32" s="137">
        <v>2304</v>
      </c>
      <c r="AN32" s="137">
        <v>0</v>
      </c>
      <c r="AO32" s="112">
        <v>0</v>
      </c>
      <c r="AP32" s="112">
        <v>0</v>
      </c>
      <c r="AQ32" s="137">
        <v>750</v>
      </c>
      <c r="AR32" s="137">
        <v>0</v>
      </c>
      <c r="AS32" s="112">
        <f>SUM(M32:AR32)</f>
        <v>37146</v>
      </c>
      <c r="AT32" s="75"/>
      <c r="AU32" s="75">
        <v>120000</v>
      </c>
      <c r="AV32" s="75"/>
      <c r="AW32" s="118">
        <f>K32+AS32+AU32</f>
        <v>289946</v>
      </c>
    </row>
    <row r="33" spans="1:49" x14ac:dyDescent="0.25">
      <c r="A33" s="320">
        <v>50311</v>
      </c>
      <c r="B33" s="35" t="s">
        <v>62</v>
      </c>
      <c r="C33" s="75">
        <v>400</v>
      </c>
      <c r="D33" s="75">
        <v>11400</v>
      </c>
      <c r="E33" s="75">
        <v>0</v>
      </c>
      <c r="F33" s="112">
        <v>0</v>
      </c>
      <c r="G33" s="112">
        <v>1500</v>
      </c>
      <c r="H33" s="112">
        <v>95000</v>
      </c>
      <c r="I33" s="112">
        <v>500</v>
      </c>
      <c r="J33" s="112">
        <v>0</v>
      </c>
      <c r="K33" s="75">
        <f>+SUM(C33:J33)</f>
        <v>108800</v>
      </c>
      <c r="L33" s="75"/>
      <c r="M33" s="79">
        <v>0</v>
      </c>
      <c r="N33" s="79">
        <v>0</v>
      </c>
      <c r="O33" s="112">
        <v>0</v>
      </c>
      <c r="P33" s="112">
        <v>0</v>
      </c>
      <c r="Q33" s="137">
        <v>0</v>
      </c>
      <c r="R33" s="137">
        <v>0</v>
      </c>
      <c r="S33" s="112">
        <v>0</v>
      </c>
      <c r="T33" s="137">
        <f>18552+12000</f>
        <v>30552</v>
      </c>
      <c r="U33" s="137">
        <v>3000</v>
      </c>
      <c r="V33" s="313">
        <v>6000</v>
      </c>
      <c r="W33" s="112">
        <v>0</v>
      </c>
      <c r="X33" s="112">
        <v>0</v>
      </c>
      <c r="Y33" s="137">
        <v>0</v>
      </c>
      <c r="Z33" s="137">
        <v>0</v>
      </c>
      <c r="AA33" s="112">
        <v>0</v>
      </c>
      <c r="AB33" s="112">
        <v>655</v>
      </c>
      <c r="AC33" s="112">
        <v>0</v>
      </c>
      <c r="AD33" s="137">
        <v>57</v>
      </c>
      <c r="AE33" s="137">
        <v>0</v>
      </c>
      <c r="AF33" s="112">
        <v>338</v>
      </c>
      <c r="AG33" s="313">
        <v>0</v>
      </c>
      <c r="AH33" s="112">
        <v>0</v>
      </c>
      <c r="AI33" s="313">
        <v>0</v>
      </c>
      <c r="AJ33" s="313">
        <v>0</v>
      </c>
      <c r="AK33" s="112"/>
      <c r="AL33" s="112"/>
      <c r="AM33" s="137">
        <v>1084</v>
      </c>
      <c r="AN33" s="137">
        <v>0</v>
      </c>
      <c r="AO33" s="112">
        <v>0</v>
      </c>
      <c r="AP33" s="112">
        <v>0</v>
      </c>
      <c r="AQ33" s="137">
        <v>1200</v>
      </c>
      <c r="AR33" s="137">
        <v>0</v>
      </c>
      <c r="AS33" s="112">
        <f>SUM(M33:AR33)</f>
        <v>42886</v>
      </c>
      <c r="AT33" s="75"/>
      <c r="AU33" s="75">
        <v>21500</v>
      </c>
      <c r="AV33" s="75"/>
      <c r="AW33" s="118">
        <f>K33+AS33+AU33</f>
        <v>173186</v>
      </c>
    </row>
    <row r="34" spans="1:49" x14ac:dyDescent="0.25">
      <c r="A34" s="320">
        <v>50312</v>
      </c>
      <c r="B34" s="35" t="s">
        <v>63</v>
      </c>
      <c r="C34" s="75">
        <v>0</v>
      </c>
      <c r="D34" s="75">
        <v>0</v>
      </c>
      <c r="E34" s="75">
        <v>0</v>
      </c>
      <c r="F34" s="112">
        <v>0</v>
      </c>
      <c r="G34" s="112">
        <v>0</v>
      </c>
      <c r="H34" s="112">
        <f>30250+10000</f>
        <v>40250</v>
      </c>
      <c r="I34" s="112">
        <v>4500</v>
      </c>
      <c r="J34" s="112">
        <v>0</v>
      </c>
      <c r="K34" s="75">
        <f>+SUM(C34:J34)</f>
        <v>44750</v>
      </c>
      <c r="L34" s="75"/>
      <c r="M34" s="79">
        <v>0</v>
      </c>
      <c r="N34" s="79">
        <v>0</v>
      </c>
      <c r="O34" s="112">
        <v>0</v>
      </c>
      <c r="P34" s="112">
        <v>0</v>
      </c>
      <c r="Q34" s="137">
        <v>0</v>
      </c>
      <c r="R34" s="137">
        <v>0</v>
      </c>
      <c r="S34" s="112">
        <v>0</v>
      </c>
      <c r="T34" s="137">
        <v>0</v>
      </c>
      <c r="U34" s="137">
        <v>0</v>
      </c>
      <c r="V34" s="313">
        <v>0</v>
      </c>
      <c r="W34" s="112">
        <v>0</v>
      </c>
      <c r="X34" s="112">
        <v>0</v>
      </c>
      <c r="Y34" s="137">
        <v>0</v>
      </c>
      <c r="Z34" s="137">
        <v>0</v>
      </c>
      <c r="AA34" s="112">
        <v>0</v>
      </c>
      <c r="AB34" s="112">
        <v>0</v>
      </c>
      <c r="AC34" s="112">
        <v>0</v>
      </c>
      <c r="AD34" s="137">
        <v>0</v>
      </c>
      <c r="AE34" s="137">
        <v>0</v>
      </c>
      <c r="AF34" s="112">
        <v>0</v>
      </c>
      <c r="AG34" s="313">
        <v>0</v>
      </c>
      <c r="AH34" s="112">
        <v>0</v>
      </c>
      <c r="AI34" s="313">
        <v>0</v>
      </c>
      <c r="AJ34" s="313">
        <v>0</v>
      </c>
      <c r="AK34" s="112"/>
      <c r="AL34" s="112"/>
      <c r="AM34" s="137">
        <v>0</v>
      </c>
      <c r="AN34" s="137">
        <v>0</v>
      </c>
      <c r="AO34" s="112">
        <v>0</v>
      </c>
      <c r="AP34" s="112">
        <v>0</v>
      </c>
      <c r="AQ34" s="137">
        <v>0</v>
      </c>
      <c r="AR34" s="137">
        <v>0</v>
      </c>
      <c r="AS34" s="112">
        <f>SUM(M34:AR34)</f>
        <v>0</v>
      </c>
      <c r="AT34" s="75"/>
      <c r="AU34" s="75">
        <v>0</v>
      </c>
      <c r="AV34" s="75"/>
      <c r="AW34" s="118">
        <f>K34+AS34+AU34</f>
        <v>44750</v>
      </c>
    </row>
    <row r="35" spans="1:49" x14ac:dyDescent="0.25">
      <c r="A35" s="320">
        <v>50313</v>
      </c>
      <c r="B35" s="35" t="s">
        <v>64</v>
      </c>
      <c r="C35" s="83">
        <v>0</v>
      </c>
      <c r="D35" s="75">
        <v>8000</v>
      </c>
      <c r="E35" s="75">
        <v>22258</v>
      </c>
      <c r="F35" s="112">
        <v>140136</v>
      </c>
      <c r="G35" s="112">
        <v>5000</v>
      </c>
      <c r="H35" s="112">
        <f>82486+8750</f>
        <v>91236</v>
      </c>
      <c r="I35" s="112">
        <v>0</v>
      </c>
      <c r="J35" s="112">
        <v>209500</v>
      </c>
      <c r="K35" s="75">
        <f>+SUM(C35:J35)</f>
        <v>476130</v>
      </c>
      <c r="L35" s="75"/>
      <c r="M35" s="79">
        <v>10906</v>
      </c>
      <c r="N35" s="79">
        <v>0</v>
      </c>
      <c r="O35" s="112">
        <v>0</v>
      </c>
      <c r="P35" s="112">
        <v>0</v>
      </c>
      <c r="Q35" s="137">
        <v>0</v>
      </c>
      <c r="R35" s="137">
        <v>0</v>
      </c>
      <c r="S35" s="112">
        <v>0</v>
      </c>
      <c r="T35" s="137">
        <v>107400</v>
      </c>
      <c r="U35" s="137">
        <v>0</v>
      </c>
      <c r="V35" s="313">
        <v>11410</v>
      </c>
      <c r="W35" s="112">
        <v>172</v>
      </c>
      <c r="X35" s="112">
        <v>0</v>
      </c>
      <c r="Y35" s="137">
        <v>0</v>
      </c>
      <c r="Z35" s="137">
        <v>0</v>
      </c>
      <c r="AA35" s="112">
        <v>0</v>
      </c>
      <c r="AB35" s="112">
        <v>48434</v>
      </c>
      <c r="AC35" s="112">
        <v>0</v>
      </c>
      <c r="AD35" s="137">
        <v>4417</v>
      </c>
      <c r="AE35" s="137">
        <v>0</v>
      </c>
      <c r="AF35" s="112">
        <v>23649</v>
      </c>
      <c r="AG35" s="313">
        <v>0</v>
      </c>
      <c r="AH35" s="112">
        <v>0</v>
      </c>
      <c r="AI35" s="313">
        <v>0</v>
      </c>
      <c r="AJ35" s="313">
        <v>0</v>
      </c>
      <c r="AK35" s="112">
        <v>923</v>
      </c>
      <c r="AL35" s="112"/>
      <c r="AM35" s="137">
        <v>4600</v>
      </c>
      <c r="AN35" s="137">
        <v>0</v>
      </c>
      <c r="AO35" s="112">
        <v>0</v>
      </c>
      <c r="AP35" s="112">
        <v>0</v>
      </c>
      <c r="AQ35" s="137">
        <v>23570</v>
      </c>
      <c r="AR35" s="137">
        <v>0</v>
      </c>
      <c r="AS35" s="112">
        <f>SUM(M35:AR35)</f>
        <v>235481</v>
      </c>
      <c r="AT35" s="75"/>
      <c r="AU35" s="75">
        <v>35633</v>
      </c>
      <c r="AV35" s="75"/>
      <c r="AW35" s="118">
        <f>K35+AS35+AU35</f>
        <v>747244</v>
      </c>
    </row>
    <row r="36" spans="1:49" x14ac:dyDescent="0.25">
      <c r="A36" s="320">
        <v>50315</v>
      </c>
      <c r="B36" s="35" t="s">
        <v>65</v>
      </c>
      <c r="C36" s="75">
        <v>110400</v>
      </c>
      <c r="D36" s="75">
        <v>0</v>
      </c>
      <c r="E36" s="75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75">
        <f>+SUM(C36:J36)</f>
        <v>110400</v>
      </c>
      <c r="L36" s="75"/>
      <c r="M36" s="79">
        <v>0</v>
      </c>
      <c r="N36" s="79">
        <v>0</v>
      </c>
      <c r="O36" s="112">
        <v>0</v>
      </c>
      <c r="P36" s="112">
        <v>0</v>
      </c>
      <c r="Q36" s="137">
        <v>0</v>
      </c>
      <c r="R36" s="137">
        <v>0</v>
      </c>
      <c r="S36" s="112">
        <v>0</v>
      </c>
      <c r="T36" s="137">
        <v>0</v>
      </c>
      <c r="U36" s="137">
        <v>40000</v>
      </c>
      <c r="V36" s="313">
        <v>0</v>
      </c>
      <c r="W36" s="112">
        <v>0</v>
      </c>
      <c r="X36" s="112">
        <v>0</v>
      </c>
      <c r="Y36" s="137">
        <v>0</v>
      </c>
      <c r="Z36" s="137">
        <v>0</v>
      </c>
      <c r="AA36" s="112">
        <v>0</v>
      </c>
      <c r="AB36" s="112">
        <v>0</v>
      </c>
      <c r="AC36" s="112">
        <v>0</v>
      </c>
      <c r="AD36" s="137">
        <v>0</v>
      </c>
      <c r="AE36" s="137">
        <v>0</v>
      </c>
      <c r="AF36" s="112">
        <v>0</v>
      </c>
      <c r="AG36" s="313">
        <v>0</v>
      </c>
      <c r="AH36" s="112">
        <v>0</v>
      </c>
      <c r="AI36" s="313">
        <v>0</v>
      </c>
      <c r="AJ36" s="313">
        <v>0</v>
      </c>
      <c r="AK36" s="112"/>
      <c r="AL36" s="112"/>
      <c r="AM36" s="137">
        <v>0</v>
      </c>
      <c r="AN36" s="137">
        <v>0</v>
      </c>
      <c r="AO36" s="112">
        <v>0</v>
      </c>
      <c r="AP36" s="112">
        <v>0</v>
      </c>
      <c r="AQ36" s="137">
        <v>0</v>
      </c>
      <c r="AR36" s="137">
        <v>0</v>
      </c>
      <c r="AS36" s="112">
        <f>SUM(M36:AR36)</f>
        <v>40000</v>
      </c>
      <c r="AT36" s="75"/>
      <c r="AU36" s="75">
        <v>0</v>
      </c>
      <c r="AV36" s="75"/>
      <c r="AW36" s="118">
        <f>K36+AS36+AU36</f>
        <v>150400</v>
      </c>
    </row>
    <row r="37" spans="1:49" x14ac:dyDescent="0.25">
      <c r="A37" s="320">
        <v>50316</v>
      </c>
      <c r="B37" s="35" t="s">
        <v>66</v>
      </c>
      <c r="C37" s="75">
        <v>0</v>
      </c>
      <c r="D37" s="75">
        <v>0</v>
      </c>
      <c r="E37" s="75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75">
        <f>+SUM(C37:J37)</f>
        <v>0</v>
      </c>
      <c r="L37" s="75"/>
      <c r="M37" s="79">
        <v>0</v>
      </c>
      <c r="N37" s="79">
        <v>0</v>
      </c>
      <c r="O37" s="112">
        <v>0</v>
      </c>
      <c r="P37" s="112">
        <v>0</v>
      </c>
      <c r="Q37" s="137">
        <v>0</v>
      </c>
      <c r="R37" s="137">
        <v>0</v>
      </c>
      <c r="S37" s="112">
        <v>0</v>
      </c>
      <c r="T37" s="137">
        <v>0</v>
      </c>
      <c r="U37" s="137">
        <v>0</v>
      </c>
      <c r="V37" s="313">
        <v>0</v>
      </c>
      <c r="W37" s="112">
        <v>0</v>
      </c>
      <c r="X37" s="112">
        <v>0</v>
      </c>
      <c r="Y37" s="137">
        <v>0</v>
      </c>
      <c r="Z37" s="137">
        <v>0</v>
      </c>
      <c r="AA37" s="112">
        <v>0</v>
      </c>
      <c r="AB37" s="112">
        <v>0</v>
      </c>
      <c r="AC37" s="112">
        <v>0</v>
      </c>
      <c r="AD37" s="137">
        <v>0</v>
      </c>
      <c r="AE37" s="137">
        <v>0</v>
      </c>
      <c r="AF37" s="112">
        <v>0</v>
      </c>
      <c r="AG37" s="313">
        <v>0</v>
      </c>
      <c r="AH37" s="112">
        <v>0</v>
      </c>
      <c r="AI37" s="313">
        <v>0</v>
      </c>
      <c r="AJ37" s="313">
        <v>0</v>
      </c>
      <c r="AK37" s="112"/>
      <c r="AL37" s="112"/>
      <c r="AM37" s="137">
        <v>0</v>
      </c>
      <c r="AN37" s="137">
        <v>0</v>
      </c>
      <c r="AO37" s="112">
        <v>0</v>
      </c>
      <c r="AP37" s="112">
        <v>0</v>
      </c>
      <c r="AQ37" s="137">
        <v>80700</v>
      </c>
      <c r="AR37" s="137">
        <v>0</v>
      </c>
      <c r="AS37" s="112">
        <f>SUM(M37:AR37)</f>
        <v>80700</v>
      </c>
      <c r="AT37" s="75"/>
      <c r="AU37" s="75">
        <v>1000</v>
      </c>
      <c r="AV37" s="75"/>
      <c r="AW37" s="118">
        <f>K37+AS37+AU37</f>
        <v>81700</v>
      </c>
    </row>
    <row r="38" spans="1:49" x14ac:dyDescent="0.25">
      <c r="A38" s="320">
        <v>50317</v>
      </c>
      <c r="B38" s="35" t="s">
        <v>67</v>
      </c>
      <c r="C38" s="75">
        <v>0</v>
      </c>
      <c r="D38" s="75">
        <v>0</v>
      </c>
      <c r="E38" s="75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75">
        <f>+SUM(C38:J38)</f>
        <v>0</v>
      </c>
      <c r="L38" s="75"/>
      <c r="M38" s="79">
        <v>0</v>
      </c>
      <c r="N38" s="79">
        <v>0</v>
      </c>
      <c r="O38" s="112">
        <v>0</v>
      </c>
      <c r="P38" s="112">
        <v>0</v>
      </c>
      <c r="Q38" s="137">
        <v>0</v>
      </c>
      <c r="R38" s="137">
        <v>0</v>
      </c>
      <c r="S38" s="112">
        <v>0</v>
      </c>
      <c r="T38" s="137">
        <v>0</v>
      </c>
      <c r="U38" s="137">
        <v>0</v>
      </c>
      <c r="V38" s="313">
        <v>0</v>
      </c>
      <c r="W38" s="112">
        <v>0</v>
      </c>
      <c r="X38" s="112">
        <v>0</v>
      </c>
      <c r="Y38" s="137">
        <v>0</v>
      </c>
      <c r="Z38" s="137">
        <v>0</v>
      </c>
      <c r="AA38" s="112">
        <v>0</v>
      </c>
      <c r="AB38" s="112">
        <v>0</v>
      </c>
      <c r="AC38" s="112">
        <v>0</v>
      </c>
      <c r="AD38" s="137">
        <v>0</v>
      </c>
      <c r="AE38" s="137">
        <v>0</v>
      </c>
      <c r="AF38" s="112">
        <v>0</v>
      </c>
      <c r="AG38" s="313">
        <v>0</v>
      </c>
      <c r="AH38" s="112">
        <v>0</v>
      </c>
      <c r="AI38" s="313">
        <v>0</v>
      </c>
      <c r="AJ38" s="313">
        <v>0</v>
      </c>
      <c r="AK38" s="112"/>
      <c r="AL38" s="112"/>
      <c r="AM38" s="137">
        <v>0</v>
      </c>
      <c r="AN38" s="137">
        <v>0</v>
      </c>
      <c r="AO38" s="112">
        <v>0</v>
      </c>
      <c r="AP38" s="112">
        <v>0</v>
      </c>
      <c r="AQ38" s="137">
        <v>165700</v>
      </c>
      <c r="AR38" s="137">
        <v>0</v>
      </c>
      <c r="AS38" s="112">
        <f>SUM(M38:AR38)</f>
        <v>165700</v>
      </c>
      <c r="AT38" s="75"/>
      <c r="AU38" s="75">
        <v>5000</v>
      </c>
      <c r="AV38" s="75"/>
      <c r="AW38" s="118">
        <f>K38+AS38+AU38</f>
        <v>170700</v>
      </c>
    </row>
    <row r="39" spans="1:49" x14ac:dyDescent="0.25">
      <c r="A39" s="320">
        <v>50318</v>
      </c>
      <c r="B39" s="35" t="s">
        <v>68</v>
      </c>
      <c r="C39" s="75">
        <v>0</v>
      </c>
      <c r="D39" s="75">
        <v>12550</v>
      </c>
      <c r="E39" s="75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75">
        <f>+SUM(C39:J39)</f>
        <v>12550</v>
      </c>
      <c r="L39" s="75"/>
      <c r="M39" s="79">
        <v>0</v>
      </c>
      <c r="N39" s="79">
        <v>0</v>
      </c>
      <c r="O39" s="112">
        <v>0</v>
      </c>
      <c r="P39" s="112">
        <v>0</v>
      </c>
      <c r="Q39" s="137">
        <v>0</v>
      </c>
      <c r="R39" s="137">
        <v>0</v>
      </c>
      <c r="S39" s="112">
        <v>0</v>
      </c>
      <c r="T39" s="137">
        <v>236380</v>
      </c>
      <c r="U39" s="137">
        <v>0</v>
      </c>
      <c r="V39" s="313">
        <v>0</v>
      </c>
      <c r="W39" s="112">
        <v>0</v>
      </c>
      <c r="X39" s="112">
        <v>0</v>
      </c>
      <c r="Y39" s="137">
        <v>0</v>
      </c>
      <c r="Z39" s="137">
        <v>0</v>
      </c>
      <c r="AA39" s="112">
        <v>0</v>
      </c>
      <c r="AB39" s="112">
        <v>0</v>
      </c>
      <c r="AC39" s="112">
        <v>0</v>
      </c>
      <c r="AD39" s="137">
        <v>0</v>
      </c>
      <c r="AE39" s="137">
        <v>0</v>
      </c>
      <c r="AF39" s="112">
        <v>0</v>
      </c>
      <c r="AG39" s="313">
        <v>0</v>
      </c>
      <c r="AH39" s="112">
        <v>0</v>
      </c>
      <c r="AI39" s="313">
        <v>0</v>
      </c>
      <c r="AJ39" s="313">
        <v>0</v>
      </c>
      <c r="AK39" s="112"/>
      <c r="AL39" s="112"/>
      <c r="AM39" s="137">
        <v>67620</v>
      </c>
      <c r="AN39" s="137">
        <v>0</v>
      </c>
      <c r="AO39" s="112">
        <v>0</v>
      </c>
      <c r="AP39" s="112">
        <v>0</v>
      </c>
      <c r="AQ39" s="165">
        <v>17100</v>
      </c>
      <c r="AR39" s="137">
        <v>0</v>
      </c>
      <c r="AS39" s="112">
        <f>SUM(M39:AR39)</f>
        <v>321100</v>
      </c>
      <c r="AT39" s="75"/>
      <c r="AU39" s="75">
        <v>231526</v>
      </c>
      <c r="AV39" s="75"/>
      <c r="AW39" s="118">
        <f>K39+AS39+AU39</f>
        <v>565176</v>
      </c>
    </row>
    <row r="40" spans="1:49" x14ac:dyDescent="0.25">
      <c r="A40" s="320">
        <v>50410</v>
      </c>
      <c r="B40" s="35" t="s">
        <v>69</v>
      </c>
      <c r="C40" s="75">
        <v>0</v>
      </c>
      <c r="D40" s="75">
        <v>0</v>
      </c>
      <c r="E40" s="75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75">
        <f>+SUM(C40:J40)</f>
        <v>0</v>
      </c>
      <c r="L40" s="75"/>
      <c r="M40" s="79">
        <v>355660</v>
      </c>
      <c r="N40" s="79">
        <v>0</v>
      </c>
      <c r="O40" s="112">
        <v>16252</v>
      </c>
      <c r="P40" s="112">
        <v>0</v>
      </c>
      <c r="Q40" s="137">
        <v>975</v>
      </c>
      <c r="R40" s="137">
        <v>0</v>
      </c>
      <c r="S40" s="112">
        <v>0</v>
      </c>
      <c r="T40" s="137">
        <v>0</v>
      </c>
      <c r="U40" s="137">
        <v>0</v>
      </c>
      <c r="V40" s="313">
        <v>0</v>
      </c>
      <c r="W40" s="112">
        <v>108684</v>
      </c>
      <c r="X40" s="112">
        <v>0</v>
      </c>
      <c r="Y40" s="137">
        <v>35421</v>
      </c>
      <c r="Z40" s="137">
        <v>0</v>
      </c>
      <c r="AA40" s="112">
        <v>0</v>
      </c>
      <c r="AB40" s="112">
        <v>37105</v>
      </c>
      <c r="AC40" s="112">
        <v>0</v>
      </c>
      <c r="AD40" s="137">
        <v>3115</v>
      </c>
      <c r="AE40" s="137">
        <v>0</v>
      </c>
      <c r="AF40" s="112">
        <v>20386</v>
      </c>
      <c r="AG40" s="313">
        <v>0</v>
      </c>
      <c r="AH40" s="112">
        <v>0</v>
      </c>
      <c r="AI40" s="313">
        <v>0</v>
      </c>
      <c r="AJ40" s="313">
        <v>0</v>
      </c>
      <c r="AK40" s="112">
        <v>19934</v>
      </c>
      <c r="AL40" s="112"/>
      <c r="AM40" s="137">
        <v>0</v>
      </c>
      <c r="AN40" s="137">
        <v>0</v>
      </c>
      <c r="AO40" s="112">
        <v>18000</v>
      </c>
      <c r="AP40" s="112">
        <v>0</v>
      </c>
      <c r="AQ40" s="137">
        <v>0</v>
      </c>
      <c r="AR40" s="137">
        <v>0</v>
      </c>
      <c r="AS40" s="112">
        <f>SUM(M40:AR40)</f>
        <v>615532</v>
      </c>
      <c r="AT40" s="75"/>
      <c r="AU40" s="75">
        <v>1101600</v>
      </c>
      <c r="AV40" s="75"/>
      <c r="AW40" s="118">
        <f>K40+AS40+AU40</f>
        <v>1717132</v>
      </c>
    </row>
    <row r="41" spans="1:49" x14ac:dyDescent="0.25">
      <c r="A41" s="320">
        <v>50415</v>
      </c>
      <c r="B41" s="35" t="s">
        <v>70</v>
      </c>
      <c r="C41" s="75">
        <v>0</v>
      </c>
      <c r="D41" s="75">
        <v>0</v>
      </c>
      <c r="E41" s="75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75">
        <f>+SUM(C41:J41)</f>
        <v>0</v>
      </c>
      <c r="L41" s="75"/>
      <c r="M41" s="79">
        <v>0</v>
      </c>
      <c r="N41" s="79">
        <v>0</v>
      </c>
      <c r="O41" s="112">
        <v>0</v>
      </c>
      <c r="P41" s="112">
        <v>0</v>
      </c>
      <c r="Q41" s="137">
        <v>0</v>
      </c>
      <c r="R41" s="137">
        <v>0</v>
      </c>
      <c r="S41" s="112">
        <v>0</v>
      </c>
      <c r="T41" s="137">
        <v>1800</v>
      </c>
      <c r="U41" s="137">
        <v>0</v>
      </c>
      <c r="V41" s="313">
        <v>0</v>
      </c>
      <c r="W41" s="112">
        <v>0</v>
      </c>
      <c r="X41" s="112">
        <v>0</v>
      </c>
      <c r="Y41" s="137">
        <v>0</v>
      </c>
      <c r="Z41" s="137">
        <v>0</v>
      </c>
      <c r="AA41" s="112">
        <v>0</v>
      </c>
      <c r="AB41" s="112">
        <v>0</v>
      </c>
      <c r="AC41" s="112">
        <v>0</v>
      </c>
      <c r="AD41" s="137">
        <v>0</v>
      </c>
      <c r="AE41" s="137">
        <v>0</v>
      </c>
      <c r="AF41" s="112">
        <v>0</v>
      </c>
      <c r="AG41" s="313">
        <v>0</v>
      </c>
      <c r="AH41" s="112">
        <v>0</v>
      </c>
      <c r="AI41" s="313">
        <v>0</v>
      </c>
      <c r="AJ41" s="313">
        <v>0</v>
      </c>
      <c r="AK41" s="112"/>
      <c r="AL41" s="112"/>
      <c r="AM41" s="137">
        <v>0</v>
      </c>
      <c r="AN41" s="137">
        <v>0</v>
      </c>
      <c r="AO41" s="112">
        <v>0</v>
      </c>
      <c r="AP41" s="112">
        <v>0</v>
      </c>
      <c r="AQ41" s="137">
        <v>77600</v>
      </c>
      <c r="AR41" s="137">
        <v>0</v>
      </c>
      <c r="AS41" s="112">
        <f>SUM(M41:AR41)</f>
        <v>79400</v>
      </c>
      <c r="AT41" s="75"/>
      <c r="AU41" s="75">
        <v>500</v>
      </c>
      <c r="AV41" s="75"/>
      <c r="AW41" s="118">
        <f>K41+AS41+AU41</f>
        <v>79900</v>
      </c>
    </row>
    <row r="42" spans="1:49" x14ac:dyDescent="0.25">
      <c r="A42" s="320">
        <v>50420</v>
      </c>
      <c r="B42" s="35" t="s">
        <v>71</v>
      </c>
      <c r="C42" s="75">
        <v>0</v>
      </c>
      <c r="D42" s="75">
        <v>0</v>
      </c>
      <c r="E42" s="75">
        <v>0</v>
      </c>
      <c r="F42" s="112">
        <v>0</v>
      </c>
      <c r="G42" s="112">
        <v>0</v>
      </c>
      <c r="H42" s="112">
        <f>15100+8200</f>
        <v>23300</v>
      </c>
      <c r="I42" s="112">
        <v>1000</v>
      </c>
      <c r="J42" s="112">
        <v>0</v>
      </c>
      <c r="K42" s="75">
        <f>+SUM(C42:J42)</f>
        <v>24300</v>
      </c>
      <c r="L42" s="75"/>
      <c r="M42" s="79">
        <v>0</v>
      </c>
      <c r="N42" s="79">
        <v>0</v>
      </c>
      <c r="O42" s="112">
        <v>0</v>
      </c>
      <c r="P42" s="112">
        <v>0</v>
      </c>
      <c r="Q42" s="137">
        <v>0</v>
      </c>
      <c r="R42" s="137">
        <v>0</v>
      </c>
      <c r="S42" s="112">
        <v>0</v>
      </c>
      <c r="T42" s="137">
        <v>0</v>
      </c>
      <c r="U42" s="137">
        <v>0</v>
      </c>
      <c r="V42" s="313">
        <v>0</v>
      </c>
      <c r="W42" s="112">
        <v>0</v>
      </c>
      <c r="X42" s="112">
        <v>0</v>
      </c>
      <c r="Y42" s="137">
        <v>0</v>
      </c>
      <c r="Z42" s="137">
        <v>0</v>
      </c>
      <c r="AA42" s="112">
        <v>0</v>
      </c>
      <c r="AB42" s="112">
        <v>0</v>
      </c>
      <c r="AC42" s="112">
        <v>0</v>
      </c>
      <c r="AD42" s="137">
        <v>0</v>
      </c>
      <c r="AE42" s="137">
        <v>0</v>
      </c>
      <c r="AF42" s="112">
        <v>0</v>
      </c>
      <c r="AG42" s="313">
        <v>0</v>
      </c>
      <c r="AH42" s="112">
        <v>0</v>
      </c>
      <c r="AI42" s="313">
        <v>0</v>
      </c>
      <c r="AJ42" s="313">
        <v>0</v>
      </c>
      <c r="AK42" s="112"/>
      <c r="AL42" s="112"/>
      <c r="AM42" s="137">
        <v>0</v>
      </c>
      <c r="AN42" s="137">
        <v>0</v>
      </c>
      <c r="AO42" s="112">
        <v>0</v>
      </c>
      <c r="AP42" s="112">
        <v>0</v>
      </c>
      <c r="AQ42" s="137">
        <v>0</v>
      </c>
      <c r="AR42" s="137">
        <v>0</v>
      </c>
      <c r="AS42" s="112">
        <f>SUM(M42:AR42)</f>
        <v>0</v>
      </c>
      <c r="AT42" s="75"/>
      <c r="AU42" s="75">
        <v>0</v>
      </c>
      <c r="AV42" s="75"/>
      <c r="AW42" s="118">
        <f>K42+AS42+AU42</f>
        <v>24300</v>
      </c>
    </row>
    <row r="43" spans="1:49" x14ac:dyDescent="0.25">
      <c r="A43" s="320">
        <v>50425</v>
      </c>
      <c r="B43" s="35" t="s">
        <v>72</v>
      </c>
      <c r="C43" s="75">
        <v>0</v>
      </c>
      <c r="D43" s="75">
        <v>10300</v>
      </c>
      <c r="E43" s="75">
        <v>500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75">
        <f>+SUM(C43:J43)</f>
        <v>10800</v>
      </c>
      <c r="L43" s="75"/>
      <c r="M43" s="79">
        <v>0</v>
      </c>
      <c r="N43" s="79">
        <v>0</v>
      </c>
      <c r="O43" s="112">
        <v>0</v>
      </c>
      <c r="P43" s="112">
        <v>0</v>
      </c>
      <c r="Q43" s="137">
        <v>0</v>
      </c>
      <c r="R43" s="137">
        <v>0</v>
      </c>
      <c r="S43" s="112">
        <v>0</v>
      </c>
      <c r="T43" s="137">
        <v>8400</v>
      </c>
      <c r="U43" s="137">
        <v>736</v>
      </c>
      <c r="V43" s="313">
        <v>0</v>
      </c>
      <c r="W43" s="112">
        <v>0</v>
      </c>
      <c r="X43" s="112">
        <v>0</v>
      </c>
      <c r="Y43" s="137">
        <v>0</v>
      </c>
      <c r="Z43" s="137">
        <v>0</v>
      </c>
      <c r="AA43" s="112">
        <v>0</v>
      </c>
      <c r="AB43" s="112">
        <v>0</v>
      </c>
      <c r="AC43" s="112">
        <v>0</v>
      </c>
      <c r="AD43" s="137">
        <v>0</v>
      </c>
      <c r="AE43" s="137">
        <v>0</v>
      </c>
      <c r="AF43" s="112">
        <v>0</v>
      </c>
      <c r="AG43" s="313">
        <v>0</v>
      </c>
      <c r="AH43" s="112">
        <v>0</v>
      </c>
      <c r="AI43" s="313">
        <v>0</v>
      </c>
      <c r="AJ43" s="313">
        <v>0</v>
      </c>
      <c r="AK43" s="112"/>
      <c r="AL43" s="112"/>
      <c r="AM43" s="137">
        <v>4200</v>
      </c>
      <c r="AN43" s="137">
        <v>0</v>
      </c>
      <c r="AO43" s="112">
        <v>0</v>
      </c>
      <c r="AP43" s="112">
        <v>0</v>
      </c>
      <c r="AQ43" s="137">
        <v>0</v>
      </c>
      <c r="AR43" s="137">
        <v>0</v>
      </c>
      <c r="AS43" s="112">
        <f>SUM(M43:AR43)</f>
        <v>13336</v>
      </c>
      <c r="AT43" s="75"/>
      <c r="AU43" s="75">
        <v>0</v>
      </c>
      <c r="AV43" s="75"/>
      <c r="AW43" s="118">
        <f>K43+AS43+AU43</f>
        <v>24136</v>
      </c>
    </row>
    <row r="44" spans="1:49" x14ac:dyDescent="0.25">
      <c r="A44" s="320">
        <v>50430</v>
      </c>
      <c r="B44" s="35" t="s">
        <v>200</v>
      </c>
      <c r="C44" s="75">
        <v>0</v>
      </c>
      <c r="D44" s="75">
        <v>0</v>
      </c>
      <c r="E44" s="75">
        <v>0</v>
      </c>
      <c r="F44" s="112">
        <v>0</v>
      </c>
      <c r="G44" s="112">
        <v>100</v>
      </c>
      <c r="H44" s="112">
        <v>0</v>
      </c>
      <c r="I44" s="112">
        <v>0</v>
      </c>
      <c r="J44" s="112">
        <v>0</v>
      </c>
      <c r="K44" s="75">
        <f>+SUM(C44:J44)</f>
        <v>100</v>
      </c>
      <c r="L44" s="75"/>
      <c r="M44" s="79">
        <v>0</v>
      </c>
      <c r="N44" s="79">
        <v>0</v>
      </c>
      <c r="O44" s="112">
        <v>0</v>
      </c>
      <c r="P44" s="112">
        <v>0</v>
      </c>
      <c r="Q44" s="137">
        <v>0</v>
      </c>
      <c r="R44" s="137">
        <v>0</v>
      </c>
      <c r="S44" s="112">
        <v>0</v>
      </c>
      <c r="T44" s="137">
        <v>0</v>
      </c>
      <c r="U44" s="137">
        <v>0</v>
      </c>
      <c r="V44" s="313">
        <v>0</v>
      </c>
      <c r="W44" s="112">
        <v>0</v>
      </c>
      <c r="X44" s="112">
        <v>0</v>
      </c>
      <c r="Y44" s="137">
        <v>0</v>
      </c>
      <c r="Z44" s="137">
        <v>0</v>
      </c>
      <c r="AA44" s="112"/>
      <c r="AB44" s="112">
        <v>0</v>
      </c>
      <c r="AC44" s="112">
        <v>0</v>
      </c>
      <c r="AD44" s="137">
        <v>0</v>
      </c>
      <c r="AE44" s="137">
        <v>0</v>
      </c>
      <c r="AF44" s="112">
        <v>0</v>
      </c>
      <c r="AG44" s="313">
        <v>0</v>
      </c>
      <c r="AH44" s="112">
        <v>0</v>
      </c>
      <c r="AI44" s="313">
        <v>0</v>
      </c>
      <c r="AJ44" s="313">
        <v>0</v>
      </c>
      <c r="AK44" s="112"/>
      <c r="AL44" s="112"/>
      <c r="AM44" s="137">
        <v>0</v>
      </c>
      <c r="AN44" s="137">
        <v>0</v>
      </c>
      <c r="AO44" s="112">
        <v>0</v>
      </c>
      <c r="AP44" s="112">
        <v>0</v>
      </c>
      <c r="AQ44" s="137">
        <v>0</v>
      </c>
      <c r="AR44" s="137">
        <v>0</v>
      </c>
      <c r="AS44" s="112">
        <f>SUM(M44:AR44)</f>
        <v>0</v>
      </c>
      <c r="AT44" s="75"/>
      <c r="AU44" s="75">
        <v>0</v>
      </c>
      <c r="AV44" s="75"/>
      <c r="AW44" s="118">
        <f>K44+AS44+AU44</f>
        <v>100</v>
      </c>
    </row>
    <row r="45" spans="1:49" x14ac:dyDescent="0.25">
      <c r="A45" s="320">
        <v>50435</v>
      </c>
      <c r="B45" s="35" t="s">
        <v>73</v>
      </c>
      <c r="C45" s="75">
        <v>0</v>
      </c>
      <c r="D45" s="75">
        <v>3000</v>
      </c>
      <c r="E45" s="75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75">
        <f>+SUM(C45:J45)</f>
        <v>3000</v>
      </c>
      <c r="L45" s="75"/>
      <c r="M45" s="79">
        <v>0</v>
      </c>
      <c r="N45" s="79">
        <v>0</v>
      </c>
      <c r="O45" s="112">
        <v>0</v>
      </c>
      <c r="P45" s="112">
        <v>0</v>
      </c>
      <c r="Q45" s="137">
        <v>0</v>
      </c>
      <c r="R45" s="137">
        <v>0</v>
      </c>
      <c r="S45" s="112">
        <v>0</v>
      </c>
      <c r="T45" s="137">
        <v>1200</v>
      </c>
      <c r="U45" s="137">
        <v>0</v>
      </c>
      <c r="V45" s="313">
        <v>0</v>
      </c>
      <c r="W45" s="112">
        <v>0</v>
      </c>
      <c r="X45" s="112">
        <v>0</v>
      </c>
      <c r="Y45" s="137">
        <v>0</v>
      </c>
      <c r="Z45" s="137">
        <v>0</v>
      </c>
      <c r="AA45" s="112">
        <v>0</v>
      </c>
      <c r="AB45" s="112">
        <v>0</v>
      </c>
      <c r="AC45" s="112">
        <v>0</v>
      </c>
      <c r="AD45" s="137">
        <v>0</v>
      </c>
      <c r="AE45" s="137">
        <v>0</v>
      </c>
      <c r="AF45" s="112">
        <v>0</v>
      </c>
      <c r="AG45" s="313">
        <v>0</v>
      </c>
      <c r="AH45" s="112">
        <v>0</v>
      </c>
      <c r="AI45" s="313">
        <v>0</v>
      </c>
      <c r="AJ45" s="313">
        <v>0</v>
      </c>
      <c r="AK45" s="112"/>
      <c r="AL45" s="112"/>
      <c r="AM45" s="137">
        <v>0</v>
      </c>
      <c r="AN45" s="137">
        <v>0</v>
      </c>
      <c r="AO45" s="112">
        <v>0</v>
      </c>
      <c r="AP45" s="112">
        <v>0</v>
      </c>
      <c r="AQ45" s="137">
        <v>0</v>
      </c>
      <c r="AR45" s="137">
        <v>0</v>
      </c>
      <c r="AS45" s="112">
        <f>SUM(M45:AR45)</f>
        <v>1200</v>
      </c>
      <c r="AT45" s="75"/>
      <c r="AU45" s="75">
        <v>0</v>
      </c>
      <c r="AV45" s="75"/>
      <c r="AW45" s="118">
        <f>K45+AS45+AU45</f>
        <v>4200</v>
      </c>
    </row>
    <row r="46" spans="1:49" x14ac:dyDescent="0.25">
      <c r="A46" s="320">
        <v>50440</v>
      </c>
      <c r="B46" s="35" t="s">
        <v>74</v>
      </c>
      <c r="C46" s="83">
        <v>0</v>
      </c>
      <c r="D46" s="8">
        <v>0</v>
      </c>
      <c r="E46" s="75">
        <v>500</v>
      </c>
      <c r="F46" s="112">
        <v>0</v>
      </c>
      <c r="G46" s="112">
        <v>0</v>
      </c>
      <c r="H46" s="112">
        <v>0</v>
      </c>
      <c r="I46" s="112">
        <v>0</v>
      </c>
      <c r="J46" s="112">
        <v>40000</v>
      </c>
      <c r="K46" s="75">
        <f>+SUM(C46:J46)</f>
        <v>40500</v>
      </c>
      <c r="L46" s="75"/>
      <c r="M46" s="79">
        <v>0</v>
      </c>
      <c r="N46" s="79">
        <v>0</v>
      </c>
      <c r="O46" s="112">
        <v>0</v>
      </c>
      <c r="P46" s="112">
        <v>0</v>
      </c>
      <c r="Q46" s="137">
        <v>0</v>
      </c>
      <c r="R46" s="137">
        <v>0</v>
      </c>
      <c r="S46" s="112">
        <v>0</v>
      </c>
      <c r="T46" s="137">
        <v>4000</v>
      </c>
      <c r="U46" s="137">
        <v>0</v>
      </c>
      <c r="V46" s="313">
        <v>0</v>
      </c>
      <c r="W46" s="112">
        <v>0</v>
      </c>
      <c r="X46" s="112">
        <v>0</v>
      </c>
      <c r="Y46" s="137">
        <v>0</v>
      </c>
      <c r="Z46" s="137">
        <v>0</v>
      </c>
      <c r="AA46" s="112">
        <v>0</v>
      </c>
      <c r="AB46" s="112">
        <v>3679</v>
      </c>
      <c r="AC46" s="112">
        <v>0</v>
      </c>
      <c r="AD46" s="137">
        <v>311</v>
      </c>
      <c r="AE46" s="137">
        <v>0</v>
      </c>
      <c r="AF46" s="112">
        <v>2010</v>
      </c>
      <c r="AG46" s="313">
        <v>0</v>
      </c>
      <c r="AH46" s="112">
        <v>0</v>
      </c>
      <c r="AI46" s="313">
        <v>0</v>
      </c>
      <c r="AJ46" s="313">
        <v>0</v>
      </c>
      <c r="AK46" s="112"/>
      <c r="AL46" s="112"/>
      <c r="AM46" s="137">
        <v>1200</v>
      </c>
      <c r="AN46" s="137">
        <v>0</v>
      </c>
      <c r="AO46" s="112">
        <v>0</v>
      </c>
      <c r="AP46" s="112">
        <v>0</v>
      </c>
      <c r="AQ46" s="137">
        <v>0</v>
      </c>
      <c r="AR46" s="137">
        <v>0</v>
      </c>
      <c r="AS46" s="112">
        <f>SUM(M46:AR46)</f>
        <v>11200</v>
      </c>
      <c r="AT46" s="75"/>
      <c r="AU46" s="75">
        <v>0</v>
      </c>
      <c r="AV46" s="75"/>
      <c r="AW46" s="118">
        <f>K46+AS46+AU46</f>
        <v>51700</v>
      </c>
    </row>
    <row r="47" spans="1:49" x14ac:dyDescent="0.25">
      <c r="A47" s="320">
        <v>50445</v>
      </c>
      <c r="B47" s="35" t="s">
        <v>75</v>
      </c>
      <c r="C47" s="75">
        <v>200</v>
      </c>
      <c r="D47" s="8">
        <v>2500</v>
      </c>
      <c r="E47" s="75">
        <v>0</v>
      </c>
      <c r="F47" s="112">
        <v>0</v>
      </c>
      <c r="G47" s="112">
        <v>0</v>
      </c>
      <c r="H47" s="112">
        <f>5950+500</f>
        <v>6450</v>
      </c>
      <c r="I47" s="112">
        <v>0</v>
      </c>
      <c r="J47" s="112">
        <v>0</v>
      </c>
      <c r="K47" s="75">
        <f>+SUM(C47:J47)</f>
        <v>9150</v>
      </c>
      <c r="L47" s="75"/>
      <c r="M47" s="79">
        <v>0</v>
      </c>
      <c r="N47" s="79">
        <v>0</v>
      </c>
      <c r="O47" s="112">
        <v>0</v>
      </c>
      <c r="P47" s="112">
        <v>0</v>
      </c>
      <c r="Q47" s="137">
        <v>0</v>
      </c>
      <c r="R47" s="137">
        <v>0</v>
      </c>
      <c r="S47" s="112">
        <v>0</v>
      </c>
      <c r="T47" s="137">
        <v>0</v>
      </c>
      <c r="U47" s="137">
        <v>1200</v>
      </c>
      <c r="V47" s="313">
        <v>0</v>
      </c>
      <c r="W47" s="112">
        <v>0</v>
      </c>
      <c r="X47" s="112">
        <v>0</v>
      </c>
      <c r="Y47" s="137">
        <v>0</v>
      </c>
      <c r="Z47" s="137">
        <v>0</v>
      </c>
      <c r="AA47" s="112">
        <v>0</v>
      </c>
      <c r="AB47" s="112">
        <v>0</v>
      </c>
      <c r="AC47" s="112">
        <v>0</v>
      </c>
      <c r="AD47" s="137">
        <v>0</v>
      </c>
      <c r="AE47" s="137">
        <v>0</v>
      </c>
      <c r="AF47" s="112">
        <v>0</v>
      </c>
      <c r="AG47" s="313">
        <v>0</v>
      </c>
      <c r="AH47" s="112">
        <v>0</v>
      </c>
      <c r="AI47" s="313">
        <v>0</v>
      </c>
      <c r="AJ47" s="313">
        <v>0</v>
      </c>
      <c r="AK47" s="112"/>
      <c r="AL47" s="112"/>
      <c r="AM47" s="137">
        <v>2200</v>
      </c>
      <c r="AN47" s="137">
        <v>0</v>
      </c>
      <c r="AO47" s="112">
        <v>0</v>
      </c>
      <c r="AP47" s="112">
        <v>0</v>
      </c>
      <c r="AQ47" s="137">
        <v>0</v>
      </c>
      <c r="AR47" s="137">
        <v>0</v>
      </c>
      <c r="AS47" s="112">
        <f>SUM(M47:AR47)</f>
        <v>3400</v>
      </c>
      <c r="AT47" s="75"/>
      <c r="AU47" s="75">
        <v>0</v>
      </c>
      <c r="AV47" s="75"/>
      <c r="AW47" s="118">
        <f>K47+AS47+AU47</f>
        <v>12550</v>
      </c>
    </row>
    <row r="48" spans="1:49" x14ac:dyDescent="0.25">
      <c r="A48" s="320">
        <v>50450</v>
      </c>
      <c r="B48" s="35" t="s">
        <v>76</v>
      </c>
      <c r="C48" s="75">
        <v>0</v>
      </c>
      <c r="D48" s="75">
        <v>0</v>
      </c>
      <c r="E48" s="75">
        <v>0</v>
      </c>
      <c r="F48" s="112">
        <v>0</v>
      </c>
      <c r="G48" s="112">
        <v>0</v>
      </c>
      <c r="H48" s="118">
        <v>0</v>
      </c>
      <c r="I48" s="112">
        <v>0</v>
      </c>
      <c r="J48" s="112">
        <v>0</v>
      </c>
      <c r="K48" s="75">
        <f>+SUM(C48:J48)</f>
        <v>0</v>
      </c>
      <c r="L48" s="75"/>
      <c r="M48" s="79">
        <v>0</v>
      </c>
      <c r="N48" s="79">
        <v>0</v>
      </c>
      <c r="O48" s="112">
        <v>0</v>
      </c>
      <c r="P48" s="112">
        <v>0</v>
      </c>
      <c r="Q48" s="137">
        <v>0</v>
      </c>
      <c r="R48" s="137">
        <v>0</v>
      </c>
      <c r="S48" s="112">
        <v>0</v>
      </c>
      <c r="T48" s="137">
        <v>0</v>
      </c>
      <c r="U48" s="137">
        <v>0</v>
      </c>
      <c r="V48" s="313">
        <v>0</v>
      </c>
      <c r="W48" s="112">
        <v>0</v>
      </c>
      <c r="X48" s="112">
        <v>0</v>
      </c>
      <c r="Y48" s="137">
        <v>0</v>
      </c>
      <c r="Z48" s="137">
        <v>0</v>
      </c>
      <c r="AA48" s="112">
        <v>0</v>
      </c>
      <c r="AB48" s="112">
        <v>0</v>
      </c>
      <c r="AC48" s="112">
        <v>0</v>
      </c>
      <c r="AD48" s="137">
        <v>0</v>
      </c>
      <c r="AE48" s="137">
        <v>0</v>
      </c>
      <c r="AF48" s="112">
        <v>0</v>
      </c>
      <c r="AG48" s="313">
        <v>0</v>
      </c>
      <c r="AH48" s="112">
        <v>0</v>
      </c>
      <c r="AI48" s="313">
        <v>0</v>
      </c>
      <c r="AJ48" s="313">
        <v>0</v>
      </c>
      <c r="AK48" s="112"/>
      <c r="AL48" s="112"/>
      <c r="AM48" s="137">
        <v>0</v>
      </c>
      <c r="AN48" s="137">
        <v>0</v>
      </c>
      <c r="AO48" s="112">
        <v>0</v>
      </c>
      <c r="AP48" s="112">
        <v>0</v>
      </c>
      <c r="AQ48" s="137">
        <v>80500</v>
      </c>
      <c r="AR48" s="137">
        <v>0</v>
      </c>
      <c r="AS48" s="112">
        <f>SUM(M48:AR48)</f>
        <v>80500</v>
      </c>
      <c r="AT48" s="75"/>
      <c r="AU48" s="75">
        <v>0</v>
      </c>
      <c r="AV48" s="75"/>
      <c r="AW48" s="118">
        <f>K48+AS48+AU48</f>
        <v>80500</v>
      </c>
    </row>
    <row r="49" spans="1:49" x14ac:dyDescent="0.25">
      <c r="A49" s="320">
        <v>50455</v>
      </c>
      <c r="B49" s="35" t="s">
        <v>77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f>+SUM(C49:J49)</f>
        <v>0</v>
      </c>
      <c r="L49" s="75"/>
      <c r="M49" s="79">
        <v>0</v>
      </c>
      <c r="N49" s="79">
        <v>0</v>
      </c>
      <c r="O49" s="112">
        <v>0</v>
      </c>
      <c r="P49" s="112">
        <v>0</v>
      </c>
      <c r="Q49" s="137">
        <v>0</v>
      </c>
      <c r="R49" s="137">
        <v>0</v>
      </c>
      <c r="S49" s="112">
        <v>0</v>
      </c>
      <c r="T49" s="137">
        <v>0</v>
      </c>
      <c r="U49" s="137">
        <v>0</v>
      </c>
      <c r="V49" s="313">
        <v>0</v>
      </c>
      <c r="W49" s="112">
        <v>0</v>
      </c>
      <c r="X49" s="112">
        <v>0</v>
      </c>
      <c r="Y49" s="137">
        <v>0</v>
      </c>
      <c r="Z49" s="137">
        <v>0</v>
      </c>
      <c r="AA49" s="112">
        <v>0</v>
      </c>
      <c r="AB49" s="112">
        <v>0</v>
      </c>
      <c r="AC49" s="112">
        <v>0</v>
      </c>
      <c r="AD49" s="137">
        <v>0</v>
      </c>
      <c r="AE49" s="137">
        <v>0</v>
      </c>
      <c r="AF49" s="112">
        <v>0</v>
      </c>
      <c r="AG49" s="313">
        <v>0</v>
      </c>
      <c r="AH49" s="112">
        <v>0</v>
      </c>
      <c r="AI49" s="313">
        <v>0</v>
      </c>
      <c r="AJ49" s="313">
        <v>0</v>
      </c>
      <c r="AK49" s="112"/>
      <c r="AL49" s="112"/>
      <c r="AM49" s="137">
        <v>0</v>
      </c>
      <c r="AN49" s="137">
        <v>0</v>
      </c>
      <c r="AO49" s="112">
        <v>0</v>
      </c>
      <c r="AP49" s="112">
        <v>0</v>
      </c>
      <c r="AQ49" s="137">
        <f>381900+250000</f>
        <v>631900</v>
      </c>
      <c r="AR49" s="137">
        <v>0</v>
      </c>
      <c r="AS49" s="112">
        <f>SUM(M49:AR49)</f>
        <v>631900</v>
      </c>
      <c r="AT49" s="75"/>
      <c r="AU49" s="75">
        <v>1000</v>
      </c>
      <c r="AV49" s="75"/>
      <c r="AW49" s="118">
        <f>K49+AS49+AU49</f>
        <v>632900</v>
      </c>
    </row>
    <row r="50" spans="1:49" x14ac:dyDescent="0.25">
      <c r="A50" s="320">
        <v>50456</v>
      </c>
      <c r="B50" s="35" t="s">
        <v>78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f>+SUM(C50:J50)</f>
        <v>0</v>
      </c>
      <c r="L50" s="75"/>
      <c r="M50" s="79">
        <v>0</v>
      </c>
      <c r="N50" s="79">
        <v>0</v>
      </c>
      <c r="O50" s="112">
        <v>0</v>
      </c>
      <c r="P50" s="112">
        <v>0</v>
      </c>
      <c r="Q50" s="137">
        <v>0</v>
      </c>
      <c r="R50" s="137">
        <v>0</v>
      </c>
      <c r="S50" s="112">
        <v>0</v>
      </c>
      <c r="T50" s="137">
        <v>0</v>
      </c>
      <c r="U50" s="137">
        <v>0</v>
      </c>
      <c r="V50" s="313">
        <v>0</v>
      </c>
      <c r="W50" s="112">
        <v>0</v>
      </c>
      <c r="X50" s="112">
        <v>0</v>
      </c>
      <c r="Y50" s="137">
        <v>0</v>
      </c>
      <c r="Z50" s="137">
        <v>0</v>
      </c>
      <c r="AA50" s="112">
        <v>0</v>
      </c>
      <c r="AB50" s="112">
        <v>0</v>
      </c>
      <c r="AC50" s="112">
        <v>0</v>
      </c>
      <c r="AD50" s="137">
        <v>0</v>
      </c>
      <c r="AE50" s="137">
        <v>0</v>
      </c>
      <c r="AF50" s="112">
        <v>0</v>
      </c>
      <c r="AG50" s="313">
        <v>0</v>
      </c>
      <c r="AH50" s="112">
        <v>0</v>
      </c>
      <c r="AI50" s="313">
        <v>0</v>
      </c>
      <c r="AJ50" s="313">
        <v>0</v>
      </c>
      <c r="AK50" s="112"/>
      <c r="AL50" s="112"/>
      <c r="AM50" s="137">
        <v>0</v>
      </c>
      <c r="AN50" s="137">
        <v>0</v>
      </c>
      <c r="AO50" s="112">
        <v>0</v>
      </c>
      <c r="AP50" s="112">
        <v>0</v>
      </c>
      <c r="AQ50" s="137">
        <v>24612</v>
      </c>
      <c r="AR50" s="137">
        <v>0</v>
      </c>
      <c r="AS50" s="112">
        <f>SUM(M50:AR50)</f>
        <v>24612</v>
      </c>
      <c r="AT50" s="75"/>
      <c r="AU50" s="75">
        <v>0</v>
      </c>
      <c r="AV50" s="75"/>
      <c r="AW50" s="118">
        <f>K50+AS50+AU50</f>
        <v>24612</v>
      </c>
    </row>
    <row r="51" spans="1:49" x14ac:dyDescent="0.25">
      <c r="A51" s="320">
        <v>50515</v>
      </c>
      <c r="B51" s="35" t="s">
        <v>180</v>
      </c>
      <c r="C51" s="75">
        <v>0</v>
      </c>
      <c r="D51" s="75">
        <v>31110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f>+SUM(C51:J51)</f>
        <v>31110</v>
      </c>
      <c r="L51" s="75"/>
      <c r="M51" s="79">
        <v>0</v>
      </c>
      <c r="N51" s="79">
        <v>0</v>
      </c>
      <c r="O51" s="112">
        <v>8115</v>
      </c>
      <c r="P51" s="112">
        <v>0</v>
      </c>
      <c r="Q51" s="137">
        <v>544</v>
      </c>
      <c r="R51" s="137">
        <v>0</v>
      </c>
      <c r="S51" s="112">
        <v>0</v>
      </c>
      <c r="T51" s="137">
        <v>36300</v>
      </c>
      <c r="U51" s="137">
        <v>0</v>
      </c>
      <c r="V51" s="313">
        <v>0</v>
      </c>
      <c r="W51" s="112">
        <v>0</v>
      </c>
      <c r="X51" s="112">
        <v>0</v>
      </c>
      <c r="Y51" s="137">
        <v>0</v>
      </c>
      <c r="Z51" s="137">
        <v>0</v>
      </c>
      <c r="AA51" s="112">
        <v>0</v>
      </c>
      <c r="AB51" s="112">
        <v>18602</v>
      </c>
      <c r="AC51" s="112">
        <v>0</v>
      </c>
      <c r="AD51" s="137">
        <v>1572</v>
      </c>
      <c r="AE51" s="137">
        <v>0</v>
      </c>
      <c r="AF51" s="112">
        <v>10170</v>
      </c>
      <c r="AG51" s="313">
        <v>0</v>
      </c>
      <c r="AH51" s="112">
        <v>0</v>
      </c>
      <c r="AI51" s="313">
        <v>0</v>
      </c>
      <c r="AJ51" s="313">
        <v>0</v>
      </c>
      <c r="AK51" s="112"/>
      <c r="AL51" s="112"/>
      <c r="AM51" s="137">
        <v>25200</v>
      </c>
      <c r="AN51" s="137">
        <v>0</v>
      </c>
      <c r="AO51" s="112">
        <v>0</v>
      </c>
      <c r="AP51" s="112">
        <v>0</v>
      </c>
      <c r="AQ51" s="137">
        <v>0</v>
      </c>
      <c r="AR51" s="137">
        <v>0</v>
      </c>
      <c r="AS51" s="112">
        <f>SUM(M51:AR51)</f>
        <v>100503</v>
      </c>
      <c r="AT51" s="75"/>
      <c r="AU51" s="75">
        <v>27000</v>
      </c>
      <c r="AV51" s="75"/>
      <c r="AW51" s="118">
        <f>K51+AS51+AU51</f>
        <v>158613</v>
      </c>
    </row>
    <row r="52" spans="1:49" x14ac:dyDescent="0.25">
      <c r="A52" s="320">
        <v>50520</v>
      </c>
      <c r="B52" s="35" t="s">
        <v>79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f>+SUM(C52:J52)</f>
        <v>0</v>
      </c>
      <c r="L52" s="75"/>
      <c r="M52" s="79">
        <v>0</v>
      </c>
      <c r="N52" s="79">
        <v>0</v>
      </c>
      <c r="O52" s="112">
        <v>0</v>
      </c>
      <c r="P52" s="112">
        <v>0</v>
      </c>
      <c r="Q52" s="137">
        <v>0</v>
      </c>
      <c r="R52" s="137">
        <v>0</v>
      </c>
      <c r="S52" s="112">
        <v>0</v>
      </c>
      <c r="T52" s="137">
        <v>24000</v>
      </c>
      <c r="U52" s="137">
        <v>0</v>
      </c>
      <c r="V52" s="313">
        <v>0</v>
      </c>
      <c r="W52" s="112">
        <v>0</v>
      </c>
      <c r="X52" s="112">
        <v>0</v>
      </c>
      <c r="Y52" s="137">
        <v>0</v>
      </c>
      <c r="Z52" s="137">
        <v>0</v>
      </c>
      <c r="AA52" s="112">
        <v>0</v>
      </c>
      <c r="AB52" s="112">
        <v>0</v>
      </c>
      <c r="AC52" s="112">
        <v>0</v>
      </c>
      <c r="AD52" s="137">
        <v>0</v>
      </c>
      <c r="AE52" s="137">
        <v>0</v>
      </c>
      <c r="AF52" s="112">
        <v>0</v>
      </c>
      <c r="AG52" s="313">
        <v>0</v>
      </c>
      <c r="AH52" s="112">
        <v>0</v>
      </c>
      <c r="AI52" s="313">
        <v>0</v>
      </c>
      <c r="AJ52" s="313">
        <v>0</v>
      </c>
      <c r="AK52" s="112"/>
      <c r="AL52" s="112"/>
      <c r="AM52" s="137">
        <v>7000</v>
      </c>
      <c r="AN52" s="137">
        <v>0</v>
      </c>
      <c r="AO52" s="112">
        <v>0</v>
      </c>
      <c r="AP52" s="112">
        <v>0</v>
      </c>
      <c r="AQ52" s="137">
        <v>0</v>
      </c>
      <c r="AR52" s="137">
        <v>0</v>
      </c>
      <c r="AS52" s="112">
        <f>SUM(M52:AR52)</f>
        <v>31000</v>
      </c>
      <c r="AT52" s="75"/>
      <c r="AU52" s="75">
        <v>77768</v>
      </c>
      <c r="AV52" s="75"/>
      <c r="AW52" s="118">
        <f>K52+AS52+AU52</f>
        <v>108768</v>
      </c>
    </row>
    <row r="53" spans="1:49" x14ac:dyDescent="0.25">
      <c r="A53" s="320">
        <v>50525</v>
      </c>
      <c r="B53" s="35" t="s">
        <v>80</v>
      </c>
      <c r="C53" s="75">
        <v>0</v>
      </c>
      <c r="D53" s="75">
        <v>11600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f>+SUM(C53:J53)</f>
        <v>11600</v>
      </c>
      <c r="L53" s="75"/>
      <c r="M53" s="79">
        <v>0</v>
      </c>
      <c r="N53" s="79">
        <v>0</v>
      </c>
      <c r="O53" s="112">
        <v>0</v>
      </c>
      <c r="P53" s="112">
        <v>0</v>
      </c>
      <c r="Q53" s="137">
        <v>0</v>
      </c>
      <c r="R53" s="137">
        <v>0</v>
      </c>
      <c r="S53" s="112">
        <v>0</v>
      </c>
      <c r="T53" s="137">
        <v>45600</v>
      </c>
      <c r="U53" s="137">
        <v>0</v>
      </c>
      <c r="V53" s="313">
        <v>0</v>
      </c>
      <c r="W53" s="112">
        <v>0</v>
      </c>
      <c r="X53" s="112">
        <v>0</v>
      </c>
      <c r="Y53" s="137">
        <v>0</v>
      </c>
      <c r="Z53" s="137">
        <v>0</v>
      </c>
      <c r="AA53" s="112">
        <v>0</v>
      </c>
      <c r="AB53" s="112">
        <v>0</v>
      </c>
      <c r="AC53" s="112">
        <v>0</v>
      </c>
      <c r="AD53" s="137">
        <v>0</v>
      </c>
      <c r="AE53" s="137">
        <v>0</v>
      </c>
      <c r="AF53" s="112">
        <v>0</v>
      </c>
      <c r="AG53" s="313">
        <v>0</v>
      </c>
      <c r="AH53" s="112">
        <v>0</v>
      </c>
      <c r="AI53" s="313">
        <v>0</v>
      </c>
      <c r="AJ53" s="313">
        <v>0</v>
      </c>
      <c r="AK53" s="112"/>
      <c r="AL53" s="112"/>
      <c r="AM53" s="137">
        <v>16080</v>
      </c>
      <c r="AN53" s="137">
        <v>0</v>
      </c>
      <c r="AO53" s="112">
        <v>0</v>
      </c>
      <c r="AP53" s="112">
        <v>0</v>
      </c>
      <c r="AQ53" s="137">
        <v>0</v>
      </c>
      <c r="AR53" s="137">
        <v>0</v>
      </c>
      <c r="AS53" s="112">
        <f>SUM(M53:AR53)</f>
        <v>61680</v>
      </c>
      <c r="AT53" s="75"/>
      <c r="AU53" s="75">
        <v>160000</v>
      </c>
      <c r="AV53" s="75"/>
      <c r="AW53" s="118">
        <f>K53+AS53+AU53</f>
        <v>233280</v>
      </c>
    </row>
    <row r="54" spans="1:49" x14ac:dyDescent="0.25">
      <c r="A54" s="320">
        <v>50530</v>
      </c>
      <c r="B54" s="35" t="s">
        <v>81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f>+SUM(C54:J54)</f>
        <v>0</v>
      </c>
      <c r="L54" s="75"/>
      <c r="M54" s="79">
        <v>0</v>
      </c>
      <c r="N54" s="79">
        <v>0</v>
      </c>
      <c r="O54" s="112">
        <v>0</v>
      </c>
      <c r="P54" s="112">
        <v>0</v>
      </c>
      <c r="Q54" s="137">
        <v>0</v>
      </c>
      <c r="R54" s="137">
        <v>0</v>
      </c>
      <c r="S54" s="112">
        <v>0</v>
      </c>
      <c r="T54" s="137">
        <v>6000</v>
      </c>
      <c r="U54" s="137">
        <v>0</v>
      </c>
      <c r="V54" s="313">
        <v>0</v>
      </c>
      <c r="W54" s="112">
        <v>0</v>
      </c>
      <c r="X54" s="112">
        <v>0</v>
      </c>
      <c r="Y54" s="137">
        <v>0</v>
      </c>
      <c r="Z54" s="137">
        <v>0</v>
      </c>
      <c r="AA54" s="112">
        <v>0</v>
      </c>
      <c r="AB54" s="112">
        <v>0</v>
      </c>
      <c r="AC54" s="112">
        <v>0</v>
      </c>
      <c r="AD54" s="137">
        <v>0</v>
      </c>
      <c r="AE54" s="137">
        <v>0</v>
      </c>
      <c r="AF54" s="112">
        <v>0</v>
      </c>
      <c r="AG54" s="313">
        <v>0</v>
      </c>
      <c r="AH54" s="112">
        <v>0</v>
      </c>
      <c r="AI54" s="313">
        <v>0</v>
      </c>
      <c r="AJ54" s="313">
        <v>0</v>
      </c>
      <c r="AK54" s="112"/>
      <c r="AL54" s="112"/>
      <c r="AM54" s="137">
        <v>0</v>
      </c>
      <c r="AN54" s="137">
        <v>0</v>
      </c>
      <c r="AO54" s="112">
        <v>0</v>
      </c>
      <c r="AP54" s="112">
        <v>0</v>
      </c>
      <c r="AQ54" s="137">
        <v>0</v>
      </c>
      <c r="AR54" s="137">
        <v>0</v>
      </c>
      <c r="AS54" s="112">
        <f>SUM(M54:AR54)</f>
        <v>6000</v>
      </c>
      <c r="AT54" s="75"/>
      <c r="AU54" s="75">
        <v>19620</v>
      </c>
      <c r="AV54" s="75"/>
      <c r="AW54" s="118">
        <f>K54+AS54+AU54</f>
        <v>25620</v>
      </c>
    </row>
    <row r="55" spans="1:49" x14ac:dyDescent="0.25">
      <c r="A55" s="320">
        <v>50605</v>
      </c>
      <c r="B55" s="35" t="s">
        <v>82</v>
      </c>
      <c r="C55" s="75">
        <v>0</v>
      </c>
      <c r="D55" s="75">
        <v>0</v>
      </c>
      <c r="E55" s="75">
        <v>0</v>
      </c>
      <c r="F55" s="112">
        <v>828</v>
      </c>
      <c r="G55" s="75">
        <v>0</v>
      </c>
      <c r="H55" s="75">
        <v>0</v>
      </c>
      <c r="I55" s="75">
        <v>0</v>
      </c>
      <c r="J55" s="75">
        <v>0</v>
      </c>
      <c r="K55" s="75">
        <f>+SUM(C55:J55)</f>
        <v>828</v>
      </c>
      <c r="L55" s="75"/>
      <c r="M55" s="79">
        <v>0</v>
      </c>
      <c r="N55" s="79">
        <v>0</v>
      </c>
      <c r="O55" s="112">
        <v>0</v>
      </c>
      <c r="P55" s="112">
        <v>0</v>
      </c>
      <c r="Q55" s="137">
        <v>0</v>
      </c>
      <c r="R55" s="137">
        <v>0</v>
      </c>
      <c r="S55" s="112">
        <v>0</v>
      </c>
      <c r="T55" s="137">
        <v>0</v>
      </c>
      <c r="U55" s="137">
        <v>0</v>
      </c>
      <c r="V55" s="313">
        <v>0</v>
      </c>
      <c r="W55" s="112">
        <v>0</v>
      </c>
      <c r="X55" s="112">
        <v>0</v>
      </c>
      <c r="Y55" s="137">
        <v>0</v>
      </c>
      <c r="Z55" s="137">
        <v>0</v>
      </c>
      <c r="AA55" s="112">
        <v>0</v>
      </c>
      <c r="AB55" s="112">
        <v>0</v>
      </c>
      <c r="AC55" s="112">
        <v>0</v>
      </c>
      <c r="AD55" s="137">
        <v>0</v>
      </c>
      <c r="AE55" s="137">
        <v>0</v>
      </c>
      <c r="AF55" s="112">
        <v>0</v>
      </c>
      <c r="AG55" s="313">
        <v>0</v>
      </c>
      <c r="AH55" s="112">
        <v>0</v>
      </c>
      <c r="AI55" s="313">
        <v>0</v>
      </c>
      <c r="AJ55" s="313">
        <v>0</v>
      </c>
      <c r="AK55" s="112"/>
      <c r="AL55" s="112"/>
      <c r="AM55" s="137">
        <v>0</v>
      </c>
      <c r="AN55" s="137">
        <v>0</v>
      </c>
      <c r="AO55" s="112">
        <v>0</v>
      </c>
      <c r="AP55" s="112">
        <v>0</v>
      </c>
      <c r="AQ55" s="137">
        <v>0</v>
      </c>
      <c r="AR55" s="137">
        <v>0</v>
      </c>
      <c r="AS55" s="112">
        <f>SUM(M55:AR55)</f>
        <v>0</v>
      </c>
      <c r="AT55" s="75"/>
      <c r="AU55" s="75">
        <v>795096</v>
      </c>
      <c r="AV55" s="75"/>
      <c r="AW55" s="118">
        <f>K55+AS55+AU55</f>
        <v>795924</v>
      </c>
    </row>
    <row r="56" spans="1:49" x14ac:dyDescent="0.25">
      <c r="A56" s="320">
        <v>50610</v>
      </c>
      <c r="B56" s="35" t="s">
        <v>83</v>
      </c>
      <c r="C56" s="75">
        <v>0</v>
      </c>
      <c r="D56" s="75">
        <v>0</v>
      </c>
      <c r="E56" s="75">
        <v>0</v>
      </c>
      <c r="F56" s="112">
        <v>840</v>
      </c>
      <c r="G56" s="75">
        <v>0</v>
      </c>
      <c r="H56" s="75">
        <v>0</v>
      </c>
      <c r="I56" s="75">
        <v>0</v>
      </c>
      <c r="J56" s="75">
        <v>0</v>
      </c>
      <c r="K56" s="75">
        <f>+SUM(C56:J56)</f>
        <v>840</v>
      </c>
      <c r="L56" s="75"/>
      <c r="M56" s="79">
        <v>0</v>
      </c>
      <c r="N56" s="79">
        <v>0</v>
      </c>
      <c r="O56" s="112">
        <v>0</v>
      </c>
      <c r="P56" s="112">
        <v>0</v>
      </c>
      <c r="Q56" s="137">
        <v>0</v>
      </c>
      <c r="R56" s="137">
        <v>0</v>
      </c>
      <c r="S56" s="112">
        <v>0</v>
      </c>
      <c r="T56" s="137">
        <v>0</v>
      </c>
      <c r="U56" s="137">
        <v>0</v>
      </c>
      <c r="V56" s="313">
        <v>0</v>
      </c>
      <c r="W56" s="112">
        <v>0</v>
      </c>
      <c r="X56" s="112">
        <v>0</v>
      </c>
      <c r="Y56" s="137">
        <v>0</v>
      </c>
      <c r="Z56" s="137">
        <v>0</v>
      </c>
      <c r="AA56" s="112">
        <v>0</v>
      </c>
      <c r="AB56" s="112">
        <v>0</v>
      </c>
      <c r="AC56" s="112">
        <v>0</v>
      </c>
      <c r="AD56" s="137">
        <v>0</v>
      </c>
      <c r="AE56" s="137">
        <v>0</v>
      </c>
      <c r="AF56" s="112">
        <v>0</v>
      </c>
      <c r="AG56" s="313">
        <v>0</v>
      </c>
      <c r="AH56" s="112">
        <v>0</v>
      </c>
      <c r="AI56" s="313">
        <v>0</v>
      </c>
      <c r="AJ56" s="313">
        <v>0</v>
      </c>
      <c r="AK56" s="112"/>
      <c r="AL56" s="112"/>
      <c r="AM56" s="137">
        <v>0</v>
      </c>
      <c r="AN56" s="137">
        <v>0</v>
      </c>
      <c r="AO56" s="112">
        <v>0</v>
      </c>
      <c r="AP56" s="112">
        <v>0</v>
      </c>
      <c r="AQ56" s="137">
        <v>19380</v>
      </c>
      <c r="AR56" s="137">
        <v>0</v>
      </c>
      <c r="AS56" s="112">
        <f>SUM(M56:AR56)</f>
        <v>19380</v>
      </c>
      <c r="AT56" s="75"/>
      <c r="AU56" s="75">
        <v>93852</v>
      </c>
      <c r="AV56" s="75"/>
      <c r="AW56" s="118">
        <f>K56+AS56+AU56</f>
        <v>114072</v>
      </c>
    </row>
    <row r="57" spans="1:49" x14ac:dyDescent="0.25">
      <c r="A57" s="320">
        <v>50615</v>
      </c>
      <c r="B57" s="35" t="s">
        <v>84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f>+SUM(C57:J57)</f>
        <v>0</v>
      </c>
      <c r="L57" s="75"/>
      <c r="M57" s="79">
        <v>0</v>
      </c>
      <c r="N57" s="79">
        <v>0</v>
      </c>
      <c r="O57" s="112">
        <v>0</v>
      </c>
      <c r="P57" s="112">
        <v>0</v>
      </c>
      <c r="Q57" s="137">
        <v>0</v>
      </c>
      <c r="R57" s="137">
        <v>0</v>
      </c>
      <c r="S57" s="112">
        <v>0</v>
      </c>
      <c r="T57" s="137">
        <v>0</v>
      </c>
      <c r="U57" s="137">
        <v>0</v>
      </c>
      <c r="V57" s="313">
        <v>0</v>
      </c>
      <c r="W57" s="112">
        <v>0</v>
      </c>
      <c r="X57" s="112">
        <v>0</v>
      </c>
      <c r="Y57" s="137">
        <v>0</v>
      </c>
      <c r="Z57" s="137">
        <v>0</v>
      </c>
      <c r="AA57" s="112">
        <v>0</v>
      </c>
      <c r="AB57" s="112">
        <v>0</v>
      </c>
      <c r="AC57" s="112">
        <v>0</v>
      </c>
      <c r="AD57" s="137">
        <v>0</v>
      </c>
      <c r="AE57" s="137">
        <v>0</v>
      </c>
      <c r="AF57" s="112">
        <v>0</v>
      </c>
      <c r="AG57" s="313">
        <v>0</v>
      </c>
      <c r="AH57" s="112">
        <v>0</v>
      </c>
      <c r="AI57" s="313">
        <v>0</v>
      </c>
      <c r="AJ57" s="313">
        <v>0</v>
      </c>
      <c r="AK57" s="112"/>
      <c r="AL57" s="112"/>
      <c r="AM57" s="137">
        <v>0</v>
      </c>
      <c r="AN57" s="137">
        <v>0</v>
      </c>
      <c r="AO57" s="112">
        <v>0</v>
      </c>
      <c r="AP57" s="112">
        <v>0</v>
      </c>
      <c r="AQ57" s="137">
        <v>0</v>
      </c>
      <c r="AR57" s="137">
        <v>0</v>
      </c>
      <c r="AS57" s="112">
        <f>SUM(M57:AR57)</f>
        <v>0</v>
      </c>
      <c r="AT57" s="75"/>
      <c r="AU57" s="75">
        <v>450672</v>
      </c>
      <c r="AV57" s="75"/>
      <c r="AW57" s="118">
        <f>K57+AS57+AU57</f>
        <v>450672</v>
      </c>
    </row>
    <row r="58" spans="1:49" x14ac:dyDescent="0.25">
      <c r="A58" s="320">
        <v>50620</v>
      </c>
      <c r="B58" s="35" t="s">
        <v>85</v>
      </c>
      <c r="C58" s="75">
        <v>0</v>
      </c>
      <c r="D58" s="75">
        <v>0</v>
      </c>
      <c r="E58" s="75">
        <v>0</v>
      </c>
      <c r="F58" s="75">
        <v>3948</v>
      </c>
      <c r="G58" s="75">
        <v>0</v>
      </c>
      <c r="H58" s="75">
        <v>0</v>
      </c>
      <c r="I58" s="75">
        <v>0</v>
      </c>
      <c r="J58" s="75">
        <v>0</v>
      </c>
      <c r="K58" s="75">
        <f>+SUM(C58:J58)</f>
        <v>3948</v>
      </c>
      <c r="L58" s="75"/>
      <c r="M58" s="79">
        <v>0</v>
      </c>
      <c r="N58" s="79">
        <v>0</v>
      </c>
      <c r="O58" s="112">
        <v>0</v>
      </c>
      <c r="P58" s="112">
        <v>0</v>
      </c>
      <c r="Q58" s="137">
        <v>0</v>
      </c>
      <c r="R58" s="137">
        <v>0</v>
      </c>
      <c r="S58" s="112">
        <v>0</v>
      </c>
      <c r="T58" s="137">
        <v>0</v>
      </c>
      <c r="U58" s="137">
        <v>0</v>
      </c>
      <c r="V58" s="313">
        <v>0</v>
      </c>
      <c r="W58" s="112">
        <v>0</v>
      </c>
      <c r="X58" s="112">
        <v>0</v>
      </c>
      <c r="Y58" s="137">
        <v>0</v>
      </c>
      <c r="Z58" s="137">
        <v>0</v>
      </c>
      <c r="AA58" s="112">
        <v>0</v>
      </c>
      <c r="AB58" s="112">
        <v>0</v>
      </c>
      <c r="AC58" s="112">
        <v>0</v>
      </c>
      <c r="AD58" s="137">
        <v>0</v>
      </c>
      <c r="AE58" s="137">
        <v>0</v>
      </c>
      <c r="AF58" s="112">
        <v>0</v>
      </c>
      <c r="AG58" s="313">
        <v>0</v>
      </c>
      <c r="AH58" s="112">
        <v>0</v>
      </c>
      <c r="AI58" s="313">
        <v>0</v>
      </c>
      <c r="AJ58" s="313">
        <v>0</v>
      </c>
      <c r="AK58" s="112"/>
      <c r="AL58" s="112"/>
      <c r="AM58" s="137">
        <v>0</v>
      </c>
      <c r="AN58" s="137">
        <v>0</v>
      </c>
      <c r="AO58" s="112">
        <v>0</v>
      </c>
      <c r="AP58" s="112">
        <v>0</v>
      </c>
      <c r="AQ58" s="137">
        <v>0</v>
      </c>
      <c r="AR58" s="137">
        <v>0</v>
      </c>
      <c r="AS58" s="112">
        <f>SUM(M58:AR58)</f>
        <v>0</v>
      </c>
      <c r="AT58" s="75"/>
      <c r="AU58" s="75">
        <v>0</v>
      </c>
      <c r="AV58" s="75"/>
      <c r="AW58" s="118">
        <f>K58+AS58+AU58</f>
        <v>3948</v>
      </c>
    </row>
    <row r="59" spans="1:49" x14ac:dyDescent="0.25">
      <c r="A59" s="320">
        <v>50625</v>
      </c>
      <c r="B59" s="35" t="s">
        <v>86</v>
      </c>
      <c r="C59" s="75">
        <v>0</v>
      </c>
      <c r="D59" s="75">
        <v>0</v>
      </c>
      <c r="E59" s="75">
        <v>0</v>
      </c>
      <c r="F59" s="75">
        <v>5100</v>
      </c>
      <c r="G59" s="75">
        <v>0</v>
      </c>
      <c r="H59" s="75">
        <v>0</v>
      </c>
      <c r="I59" s="75">
        <v>0</v>
      </c>
      <c r="J59" s="75">
        <v>0</v>
      </c>
      <c r="K59" s="75">
        <f>+SUM(C59:J59)</f>
        <v>5100</v>
      </c>
      <c r="L59" s="75"/>
      <c r="M59" s="79">
        <v>0</v>
      </c>
      <c r="N59" s="79">
        <v>0</v>
      </c>
      <c r="O59" s="112">
        <v>0</v>
      </c>
      <c r="P59" s="112">
        <v>0</v>
      </c>
      <c r="Q59" s="137">
        <v>0</v>
      </c>
      <c r="R59" s="137">
        <v>0</v>
      </c>
      <c r="S59" s="112">
        <v>0</v>
      </c>
      <c r="T59" s="137">
        <v>0</v>
      </c>
      <c r="U59" s="137">
        <v>0</v>
      </c>
      <c r="V59" s="313">
        <v>0</v>
      </c>
      <c r="W59" s="112">
        <v>0</v>
      </c>
      <c r="X59" s="112">
        <v>0</v>
      </c>
      <c r="Y59" s="137">
        <v>0</v>
      </c>
      <c r="Z59" s="137">
        <v>0</v>
      </c>
      <c r="AA59" s="112">
        <v>0</v>
      </c>
      <c r="AB59" s="112">
        <v>0</v>
      </c>
      <c r="AC59" s="112">
        <v>0</v>
      </c>
      <c r="AD59" s="137">
        <v>0</v>
      </c>
      <c r="AE59" s="137">
        <v>0</v>
      </c>
      <c r="AF59" s="112">
        <v>0</v>
      </c>
      <c r="AG59" s="313">
        <v>0</v>
      </c>
      <c r="AH59" s="112">
        <v>0</v>
      </c>
      <c r="AI59" s="313">
        <v>0</v>
      </c>
      <c r="AJ59" s="313">
        <v>0</v>
      </c>
      <c r="AK59" s="112"/>
      <c r="AL59" s="112"/>
      <c r="AM59" s="137">
        <v>0</v>
      </c>
      <c r="AN59" s="137">
        <v>0</v>
      </c>
      <c r="AO59" s="112">
        <v>0</v>
      </c>
      <c r="AP59" s="112">
        <v>0</v>
      </c>
      <c r="AQ59" s="137">
        <v>0</v>
      </c>
      <c r="AR59" s="137">
        <v>0</v>
      </c>
      <c r="AS59" s="112">
        <f>SUM(M59:AR59)</f>
        <v>0</v>
      </c>
      <c r="AT59" s="75"/>
      <c r="AU59" s="75">
        <v>0</v>
      </c>
      <c r="AV59" s="75"/>
      <c r="AW59" s="118">
        <f>K59+AS59+AU59</f>
        <v>5100</v>
      </c>
    </row>
    <row r="60" spans="1:49" x14ac:dyDescent="0.25">
      <c r="A60" s="320">
        <v>50630</v>
      </c>
      <c r="B60" s="35" t="s">
        <v>87</v>
      </c>
      <c r="C60" s="75">
        <v>0</v>
      </c>
      <c r="D60" s="75">
        <v>0</v>
      </c>
      <c r="E60" s="75">
        <v>0</v>
      </c>
      <c r="F60" s="112">
        <v>3971</v>
      </c>
      <c r="G60" s="75">
        <v>0</v>
      </c>
      <c r="H60" s="75">
        <v>0</v>
      </c>
      <c r="I60" s="75">
        <v>0</v>
      </c>
      <c r="J60" s="75">
        <v>0</v>
      </c>
      <c r="K60" s="75">
        <f>+SUM(C60:J60)</f>
        <v>3971</v>
      </c>
      <c r="L60" s="75"/>
      <c r="M60" s="79">
        <v>0</v>
      </c>
      <c r="N60" s="79">
        <v>22685</v>
      </c>
      <c r="O60" s="112">
        <v>0</v>
      </c>
      <c r="P60" s="112">
        <v>1323</v>
      </c>
      <c r="Q60" s="137">
        <v>0</v>
      </c>
      <c r="R60" s="137">
        <v>66</v>
      </c>
      <c r="S60" s="112">
        <v>0</v>
      </c>
      <c r="T60" s="137">
        <v>0</v>
      </c>
      <c r="U60" s="137">
        <v>163</v>
      </c>
      <c r="V60" s="313">
        <v>0</v>
      </c>
      <c r="W60" s="112">
        <v>0</v>
      </c>
      <c r="X60" s="112">
        <v>6390</v>
      </c>
      <c r="Y60" s="137">
        <v>0</v>
      </c>
      <c r="Z60" s="137">
        <v>2436</v>
      </c>
      <c r="AA60" s="112">
        <v>0</v>
      </c>
      <c r="AB60" s="112">
        <v>0</v>
      </c>
      <c r="AC60" s="112">
        <v>3823</v>
      </c>
      <c r="AD60" s="137">
        <v>0</v>
      </c>
      <c r="AE60" s="137">
        <v>292</v>
      </c>
      <c r="AF60" s="112">
        <v>0</v>
      </c>
      <c r="AG60" s="313">
        <v>2197</v>
      </c>
      <c r="AH60" s="112">
        <v>0</v>
      </c>
      <c r="AI60" s="313">
        <v>0</v>
      </c>
      <c r="AJ60" s="313">
        <v>0</v>
      </c>
      <c r="AK60" s="112"/>
      <c r="AL60" s="112">
        <v>406</v>
      </c>
      <c r="AM60" s="137">
        <v>0</v>
      </c>
      <c r="AN60" s="137">
        <v>322</v>
      </c>
      <c r="AO60" s="112">
        <v>0</v>
      </c>
      <c r="AP60" s="112">
        <v>13902</v>
      </c>
      <c r="AQ60" s="137">
        <v>0</v>
      </c>
      <c r="AR60" s="137">
        <v>11837</v>
      </c>
      <c r="AS60" s="112">
        <f>SUM(M60:AR60)</f>
        <v>65842</v>
      </c>
      <c r="AT60" s="75"/>
      <c r="AU60" s="75">
        <v>0</v>
      </c>
      <c r="AV60" s="75"/>
      <c r="AW60" s="118">
        <f>K60+AS60+AU60</f>
        <v>69813</v>
      </c>
    </row>
    <row r="61" spans="1:49" ht="14.25" customHeight="1" x14ac:dyDescent="0.25">
      <c r="A61" s="320">
        <v>50635</v>
      </c>
      <c r="B61" s="35" t="s">
        <v>88</v>
      </c>
      <c r="C61" s="75">
        <v>0</v>
      </c>
      <c r="D61" s="75">
        <v>0</v>
      </c>
      <c r="E61" s="75">
        <v>0</v>
      </c>
      <c r="F61" s="75">
        <v>828</v>
      </c>
      <c r="G61" s="75">
        <v>0</v>
      </c>
      <c r="H61" s="75">
        <v>0</v>
      </c>
      <c r="I61" s="75">
        <v>0</v>
      </c>
      <c r="J61" s="75">
        <v>0</v>
      </c>
      <c r="K61" s="75">
        <f>+SUM(C61:J61)</f>
        <v>828</v>
      </c>
      <c r="L61" s="75"/>
      <c r="M61" s="79">
        <v>132866</v>
      </c>
      <c r="N61" s="79">
        <v>0</v>
      </c>
      <c r="O61" s="112">
        <v>10623</v>
      </c>
      <c r="P61" s="112">
        <v>0</v>
      </c>
      <c r="Q61" s="137">
        <v>637</v>
      </c>
      <c r="R61" s="137">
        <v>0</v>
      </c>
      <c r="S61" s="112">
        <v>0</v>
      </c>
      <c r="T61" s="137">
        <v>0</v>
      </c>
      <c r="U61" s="137">
        <v>0</v>
      </c>
      <c r="V61" s="313">
        <v>0</v>
      </c>
      <c r="W61" s="112">
        <v>40601</v>
      </c>
      <c r="X61" s="112">
        <v>0</v>
      </c>
      <c r="Y61" s="137">
        <v>23157</v>
      </c>
      <c r="Z61" s="137">
        <v>0</v>
      </c>
      <c r="AA61" s="112">
        <v>0</v>
      </c>
      <c r="AB61" s="112">
        <v>24256</v>
      </c>
      <c r="AC61" s="112">
        <v>0</v>
      </c>
      <c r="AD61" s="137">
        <v>2037</v>
      </c>
      <c r="AE61" s="137">
        <v>0</v>
      </c>
      <c r="AF61" s="112">
        <v>13329</v>
      </c>
      <c r="AG61" s="313">
        <v>0</v>
      </c>
      <c r="AH61" s="112">
        <v>0</v>
      </c>
      <c r="AI61" s="313">
        <v>0</v>
      </c>
      <c r="AJ61" s="313">
        <v>0</v>
      </c>
      <c r="AK61" s="112">
        <v>7446</v>
      </c>
      <c r="AL61" s="112"/>
      <c r="AM61" s="137">
        <v>0</v>
      </c>
      <c r="AN61" s="137">
        <v>0</v>
      </c>
      <c r="AO61" s="112">
        <v>2352</v>
      </c>
      <c r="AP61" s="112">
        <v>0</v>
      </c>
      <c r="AQ61" s="137">
        <v>2556</v>
      </c>
      <c r="AR61" s="137">
        <v>0</v>
      </c>
      <c r="AS61" s="112">
        <f>SUM(M61:AR61)</f>
        <v>259860</v>
      </c>
      <c r="AT61" s="75"/>
      <c r="AU61" s="75">
        <v>876</v>
      </c>
      <c r="AV61" s="75"/>
      <c r="AW61" s="118">
        <f>K61+AS61+AU61</f>
        <v>261564</v>
      </c>
    </row>
    <row r="62" spans="1:49" x14ac:dyDescent="0.25">
      <c r="A62" s="320">
        <v>50640</v>
      </c>
      <c r="B62" s="35" t="s">
        <v>89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f>+SUM(C62:J62)</f>
        <v>0</v>
      </c>
      <c r="L62" s="75"/>
      <c r="M62" s="79">
        <v>0</v>
      </c>
      <c r="N62" s="79">
        <v>0</v>
      </c>
      <c r="O62" s="112">
        <v>0</v>
      </c>
      <c r="P62" s="112">
        <v>0</v>
      </c>
      <c r="Q62" s="137">
        <v>0</v>
      </c>
      <c r="R62" s="137">
        <v>0</v>
      </c>
      <c r="S62" s="112">
        <v>0</v>
      </c>
      <c r="T62" s="137">
        <v>0</v>
      </c>
      <c r="U62" s="137">
        <v>0</v>
      </c>
      <c r="V62" s="313">
        <v>0</v>
      </c>
      <c r="W62" s="112">
        <v>0</v>
      </c>
      <c r="X62" s="112">
        <v>0</v>
      </c>
      <c r="Y62" s="137">
        <v>0</v>
      </c>
      <c r="Z62" s="137">
        <v>0</v>
      </c>
      <c r="AA62" s="112">
        <v>0</v>
      </c>
      <c r="AB62" s="112">
        <v>0</v>
      </c>
      <c r="AC62" s="112">
        <v>0</v>
      </c>
      <c r="AD62" s="137">
        <v>0</v>
      </c>
      <c r="AE62" s="137">
        <v>0</v>
      </c>
      <c r="AF62" s="112">
        <v>0</v>
      </c>
      <c r="AG62" s="313">
        <v>0</v>
      </c>
      <c r="AH62" s="112">
        <v>0</v>
      </c>
      <c r="AI62" s="313">
        <v>0</v>
      </c>
      <c r="AJ62" s="313">
        <v>0</v>
      </c>
      <c r="AK62" s="112"/>
      <c r="AL62" s="112"/>
      <c r="AM62" s="137">
        <v>0</v>
      </c>
      <c r="AN62" s="137">
        <v>0</v>
      </c>
      <c r="AO62" s="112">
        <v>0</v>
      </c>
      <c r="AP62" s="112">
        <v>0</v>
      </c>
      <c r="AQ62" s="137">
        <v>0</v>
      </c>
      <c r="AR62" s="137">
        <v>0</v>
      </c>
      <c r="AS62" s="112">
        <f>SUM(M62:AR62)</f>
        <v>0</v>
      </c>
      <c r="AT62" s="75"/>
      <c r="AU62" s="75">
        <v>561</v>
      </c>
      <c r="AV62" s="75"/>
      <c r="AW62" s="118">
        <f>K62+AS62+AU62</f>
        <v>561</v>
      </c>
    </row>
    <row r="63" spans="1:49" x14ac:dyDescent="0.25">
      <c r="A63" s="320">
        <v>50810</v>
      </c>
      <c r="B63" s="35" t="s">
        <v>90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f>+SUM(C63:J63)</f>
        <v>0</v>
      </c>
      <c r="L63" s="75"/>
      <c r="M63" s="79">
        <v>72000</v>
      </c>
      <c r="N63" s="79">
        <v>0</v>
      </c>
      <c r="O63" s="112">
        <v>16061</v>
      </c>
      <c r="P63" s="112">
        <v>0</v>
      </c>
      <c r="Q63" s="137">
        <v>52400</v>
      </c>
      <c r="R63" s="137">
        <v>0</v>
      </c>
      <c r="S63" s="112">
        <v>340266</v>
      </c>
      <c r="T63" s="137">
        <v>0</v>
      </c>
      <c r="U63" s="137">
        <v>0</v>
      </c>
      <c r="V63" s="313">
        <v>0</v>
      </c>
      <c r="W63" s="112">
        <v>0</v>
      </c>
      <c r="X63" s="112">
        <v>0</v>
      </c>
      <c r="Y63" s="137">
        <v>0</v>
      </c>
      <c r="Z63" s="137">
        <v>0</v>
      </c>
      <c r="AA63" s="112">
        <v>0</v>
      </c>
      <c r="AB63" s="112">
        <v>0</v>
      </c>
      <c r="AC63" s="112">
        <v>0</v>
      </c>
      <c r="AD63" s="137">
        <v>0</v>
      </c>
      <c r="AE63" s="137">
        <v>0</v>
      </c>
      <c r="AF63" s="112">
        <v>0</v>
      </c>
      <c r="AG63" s="313">
        <v>0</v>
      </c>
      <c r="AH63" s="112">
        <v>3173172</v>
      </c>
      <c r="AI63" s="313">
        <v>227616</v>
      </c>
      <c r="AJ63" s="313">
        <v>1934580</v>
      </c>
      <c r="AK63" s="118"/>
      <c r="AL63" s="112"/>
      <c r="AM63" s="137">
        <v>0</v>
      </c>
      <c r="AN63" s="137">
        <v>0</v>
      </c>
      <c r="AO63" s="112">
        <v>0</v>
      </c>
      <c r="AP63" s="112">
        <v>0</v>
      </c>
      <c r="AQ63" s="137">
        <v>0</v>
      </c>
      <c r="AR63" s="137">
        <v>0</v>
      </c>
      <c r="AS63" s="112">
        <f>SUM(M63:AR63)</f>
        <v>5816095</v>
      </c>
      <c r="AT63" s="75"/>
      <c r="AU63" s="75">
        <v>10864067</v>
      </c>
      <c r="AV63" s="75"/>
      <c r="AW63" s="118">
        <f>K63+AS63+AU63</f>
        <v>16680162</v>
      </c>
    </row>
    <row r="64" spans="1:49" x14ac:dyDescent="0.25">
      <c r="A64" s="320">
        <v>50910</v>
      </c>
      <c r="B64" s="35" t="s">
        <v>91</v>
      </c>
      <c r="C64" s="75">
        <v>42340</v>
      </c>
      <c r="D64" s="75">
        <v>590</v>
      </c>
      <c r="E64" s="75">
        <v>0</v>
      </c>
      <c r="F64" s="75">
        <v>5167</v>
      </c>
      <c r="G64" s="75">
        <v>1550</v>
      </c>
      <c r="H64" s="75">
        <v>3570</v>
      </c>
      <c r="I64" s="75">
        <v>1525</v>
      </c>
      <c r="J64" s="75">
        <v>500</v>
      </c>
      <c r="K64" s="75">
        <f>+SUM(C64:J64)</f>
        <v>55242</v>
      </c>
      <c r="L64" s="75"/>
      <c r="M64" s="79">
        <v>0</v>
      </c>
      <c r="N64" s="79">
        <v>0</v>
      </c>
      <c r="O64" s="112">
        <v>0</v>
      </c>
      <c r="P64" s="112">
        <v>0</v>
      </c>
      <c r="Q64" s="137">
        <v>0</v>
      </c>
      <c r="R64" s="137">
        <v>0</v>
      </c>
      <c r="S64" s="112">
        <v>0</v>
      </c>
      <c r="T64" s="137">
        <v>0</v>
      </c>
      <c r="U64" s="137">
        <v>420</v>
      </c>
      <c r="V64" s="313">
        <v>500</v>
      </c>
      <c r="W64" s="112">
        <v>0</v>
      </c>
      <c r="X64" s="112">
        <v>0</v>
      </c>
      <c r="Y64" s="137">
        <v>0</v>
      </c>
      <c r="Z64" s="137">
        <v>0</v>
      </c>
      <c r="AA64" s="112">
        <v>0</v>
      </c>
      <c r="AB64" s="112">
        <v>0</v>
      </c>
      <c r="AC64" s="112">
        <v>0</v>
      </c>
      <c r="AD64" s="137">
        <v>0</v>
      </c>
      <c r="AE64" s="137">
        <v>0</v>
      </c>
      <c r="AF64" s="112">
        <v>0</v>
      </c>
      <c r="AG64" s="313">
        <v>0</v>
      </c>
      <c r="AH64" s="112">
        <v>0</v>
      </c>
      <c r="AI64" s="313">
        <v>0</v>
      </c>
      <c r="AJ64" s="313">
        <v>0</v>
      </c>
      <c r="AK64" s="112"/>
      <c r="AL64" s="112"/>
      <c r="AM64" s="137">
        <v>0</v>
      </c>
      <c r="AN64" s="137">
        <v>400</v>
      </c>
      <c r="AO64" s="112">
        <v>0</v>
      </c>
      <c r="AP64" s="112">
        <v>0</v>
      </c>
      <c r="AQ64" s="137">
        <v>0</v>
      </c>
      <c r="AR64" s="137">
        <v>0</v>
      </c>
      <c r="AS64" s="112">
        <f>SUM(M64:AR64)</f>
        <v>1320</v>
      </c>
      <c r="AT64" s="75"/>
      <c r="AU64" s="75">
        <v>600</v>
      </c>
      <c r="AV64" s="75"/>
      <c r="AW64" s="118">
        <f>K64+AS64+AU64</f>
        <v>57162</v>
      </c>
    </row>
    <row r="65" spans="1:49" x14ac:dyDescent="0.25">
      <c r="A65" s="320">
        <v>50915</v>
      </c>
      <c r="B65" s="35" t="s">
        <v>92</v>
      </c>
      <c r="C65" s="75">
        <v>2050</v>
      </c>
      <c r="D65" s="75">
        <v>2000</v>
      </c>
      <c r="E65" s="75">
        <v>5400</v>
      </c>
      <c r="F65" s="75">
        <v>8285</v>
      </c>
      <c r="G65" s="75">
        <v>3110</v>
      </c>
      <c r="H65" s="75">
        <v>7145</v>
      </c>
      <c r="I65" s="75">
        <v>1300</v>
      </c>
      <c r="J65" s="75">
        <v>2700</v>
      </c>
      <c r="K65" s="75">
        <f>+SUM(C65:J65)</f>
        <v>31990</v>
      </c>
      <c r="L65" s="75"/>
      <c r="M65" s="79">
        <v>0</v>
      </c>
      <c r="N65" s="79">
        <v>0</v>
      </c>
      <c r="O65" s="112">
        <v>0</v>
      </c>
      <c r="P65" s="112">
        <v>0</v>
      </c>
      <c r="Q65" s="137">
        <v>0</v>
      </c>
      <c r="R65" s="137">
        <v>0</v>
      </c>
      <c r="S65" s="112">
        <v>0</v>
      </c>
      <c r="T65" s="137">
        <v>0</v>
      </c>
      <c r="U65" s="137">
        <v>2200</v>
      </c>
      <c r="V65" s="313">
        <v>5255</v>
      </c>
      <c r="W65" s="112">
        <v>0</v>
      </c>
      <c r="X65" s="112">
        <v>0</v>
      </c>
      <c r="Y65" s="137">
        <v>0</v>
      </c>
      <c r="Z65" s="137">
        <v>0</v>
      </c>
      <c r="AA65" s="112">
        <v>0</v>
      </c>
      <c r="AB65" s="112">
        <v>0</v>
      </c>
      <c r="AC65" s="112">
        <v>0</v>
      </c>
      <c r="AD65" s="137">
        <v>0</v>
      </c>
      <c r="AE65" s="137">
        <v>0</v>
      </c>
      <c r="AF65" s="112">
        <v>0</v>
      </c>
      <c r="AG65" s="313">
        <v>0</v>
      </c>
      <c r="AH65" s="112">
        <v>0</v>
      </c>
      <c r="AI65" s="313">
        <v>0</v>
      </c>
      <c r="AJ65" s="313">
        <v>0</v>
      </c>
      <c r="AK65" s="112"/>
      <c r="AL65" s="112"/>
      <c r="AM65" s="137">
        <v>0</v>
      </c>
      <c r="AN65" s="137">
        <v>0</v>
      </c>
      <c r="AO65" s="112">
        <v>0</v>
      </c>
      <c r="AP65" s="112">
        <v>0</v>
      </c>
      <c r="AQ65" s="137">
        <v>0</v>
      </c>
      <c r="AR65" s="137">
        <v>0</v>
      </c>
      <c r="AS65" s="112">
        <f>SUM(M65:AR65)</f>
        <v>7455</v>
      </c>
      <c r="AT65" s="75"/>
      <c r="AU65" s="75">
        <v>2940</v>
      </c>
      <c r="AV65" s="75"/>
      <c r="AW65" s="118">
        <f>K65+AS65+AU65</f>
        <v>42385</v>
      </c>
    </row>
    <row r="66" spans="1:49" x14ac:dyDescent="0.25">
      <c r="A66" s="320">
        <v>50920</v>
      </c>
      <c r="B66" s="35" t="s">
        <v>93</v>
      </c>
      <c r="C66" s="75">
        <v>9900</v>
      </c>
      <c r="D66" s="75">
        <v>0</v>
      </c>
      <c r="E66" s="75">
        <v>13200</v>
      </c>
      <c r="F66" s="75">
        <v>3413</v>
      </c>
      <c r="G66" s="75">
        <v>6980</v>
      </c>
      <c r="H66" s="75">
        <v>3150</v>
      </c>
      <c r="I66" s="75">
        <v>0</v>
      </c>
      <c r="J66" s="75">
        <v>2700</v>
      </c>
      <c r="K66" s="75">
        <f>+SUM(C66:J66)</f>
        <v>39343</v>
      </c>
      <c r="L66" s="75"/>
      <c r="M66" s="79">
        <v>0</v>
      </c>
      <c r="N66" s="79">
        <v>0</v>
      </c>
      <c r="O66" s="112">
        <v>2400</v>
      </c>
      <c r="P66" s="112">
        <v>0</v>
      </c>
      <c r="Q66" s="137">
        <v>600</v>
      </c>
      <c r="R66" s="137">
        <v>0</v>
      </c>
      <c r="S66" s="112">
        <v>0</v>
      </c>
      <c r="T66" s="137">
        <v>0</v>
      </c>
      <c r="U66" s="137">
        <v>1200</v>
      </c>
      <c r="V66" s="313">
        <v>5850</v>
      </c>
      <c r="W66" s="112">
        <v>0</v>
      </c>
      <c r="X66" s="112">
        <v>0</v>
      </c>
      <c r="Y66" s="137">
        <v>0</v>
      </c>
      <c r="Z66" s="137">
        <v>0</v>
      </c>
      <c r="AA66" s="112">
        <v>0</v>
      </c>
      <c r="AB66" s="112">
        <v>0</v>
      </c>
      <c r="AC66" s="112">
        <v>0</v>
      </c>
      <c r="AD66" s="137">
        <v>0</v>
      </c>
      <c r="AE66" s="137">
        <v>0</v>
      </c>
      <c r="AF66" s="112">
        <v>0</v>
      </c>
      <c r="AG66" s="313">
        <v>0</v>
      </c>
      <c r="AH66" s="112">
        <v>0</v>
      </c>
      <c r="AI66" s="313">
        <v>0</v>
      </c>
      <c r="AJ66" s="313">
        <v>0</v>
      </c>
      <c r="AK66" s="112"/>
      <c r="AL66" s="112"/>
      <c r="AM66" s="137">
        <v>0</v>
      </c>
      <c r="AN66" s="137">
        <v>0</v>
      </c>
      <c r="AO66" s="112">
        <v>0</v>
      </c>
      <c r="AP66" s="112">
        <v>0</v>
      </c>
      <c r="AQ66" s="137">
        <v>0</v>
      </c>
      <c r="AR66" s="137">
        <v>0</v>
      </c>
      <c r="AS66" s="112">
        <f>SUM(M66:AR66)</f>
        <v>10050</v>
      </c>
      <c r="AT66" s="75"/>
      <c r="AU66" s="75">
        <v>6120</v>
      </c>
      <c r="AV66" s="75"/>
      <c r="AW66" s="118">
        <f>K66+AS66+AU66</f>
        <v>55513</v>
      </c>
    </row>
    <row r="67" spans="1:49" x14ac:dyDescent="0.25">
      <c r="A67" s="320">
        <v>50925</v>
      </c>
      <c r="B67" s="35" t="s">
        <v>94</v>
      </c>
      <c r="C67" s="75">
        <v>500</v>
      </c>
      <c r="D67" s="75">
        <v>0</v>
      </c>
      <c r="E67" s="75">
        <v>1000</v>
      </c>
      <c r="F67" s="75">
        <v>1200</v>
      </c>
      <c r="G67" s="75">
        <v>1200</v>
      </c>
      <c r="H67" s="75">
        <v>1000</v>
      </c>
      <c r="I67" s="75">
        <v>1200</v>
      </c>
      <c r="J67" s="75">
        <v>2400</v>
      </c>
      <c r="K67" s="75">
        <f>+SUM(C67:J67)</f>
        <v>8500</v>
      </c>
      <c r="L67" s="75"/>
      <c r="M67" s="79">
        <v>0</v>
      </c>
      <c r="N67" s="79">
        <v>0</v>
      </c>
      <c r="O67" s="112">
        <v>0</v>
      </c>
      <c r="P67" s="112">
        <v>0</v>
      </c>
      <c r="Q67" s="137">
        <v>0</v>
      </c>
      <c r="R67" s="137">
        <v>0</v>
      </c>
      <c r="S67" s="112">
        <v>0</v>
      </c>
      <c r="T67" s="137">
        <v>0</v>
      </c>
      <c r="U67" s="137">
        <v>0</v>
      </c>
      <c r="V67" s="313">
        <v>600</v>
      </c>
      <c r="W67" s="112">
        <v>0</v>
      </c>
      <c r="X67" s="112">
        <v>0</v>
      </c>
      <c r="Y67" s="137">
        <v>0</v>
      </c>
      <c r="Z67" s="137">
        <v>0</v>
      </c>
      <c r="AA67" s="112">
        <v>0</v>
      </c>
      <c r="AB67" s="112">
        <v>0</v>
      </c>
      <c r="AC67" s="112">
        <v>0</v>
      </c>
      <c r="AD67" s="137">
        <v>0</v>
      </c>
      <c r="AE67" s="137">
        <v>0</v>
      </c>
      <c r="AF67" s="112">
        <v>0</v>
      </c>
      <c r="AG67" s="313">
        <v>0</v>
      </c>
      <c r="AH67" s="112">
        <v>0</v>
      </c>
      <c r="AI67" s="313">
        <v>0</v>
      </c>
      <c r="AJ67" s="313">
        <v>0</v>
      </c>
      <c r="AK67" s="112"/>
      <c r="AL67" s="112"/>
      <c r="AM67" s="137">
        <v>0</v>
      </c>
      <c r="AN67" s="137">
        <v>0</v>
      </c>
      <c r="AO67" s="112">
        <v>0</v>
      </c>
      <c r="AP67" s="112">
        <v>0</v>
      </c>
      <c r="AQ67" s="137">
        <v>0</v>
      </c>
      <c r="AR67" s="137">
        <v>0</v>
      </c>
      <c r="AS67" s="112">
        <f>SUM(M67:AR67)</f>
        <v>600</v>
      </c>
      <c r="AT67" s="75"/>
      <c r="AU67" s="75">
        <v>1000</v>
      </c>
      <c r="AV67" s="75"/>
      <c r="AW67" s="118">
        <f>K67+AS67+AU67</f>
        <v>10100</v>
      </c>
    </row>
    <row r="68" spans="1:49" x14ac:dyDescent="0.25">
      <c r="A68" s="320">
        <v>50930</v>
      </c>
      <c r="B68" s="35" t="s">
        <v>95</v>
      </c>
      <c r="C68" s="75">
        <v>1800</v>
      </c>
      <c r="D68" s="75">
        <v>1750</v>
      </c>
      <c r="E68" s="75">
        <v>7200</v>
      </c>
      <c r="F68" s="75">
        <v>3600</v>
      </c>
      <c r="G68" s="75">
        <v>600</v>
      </c>
      <c r="H68" s="75">
        <v>1250</v>
      </c>
      <c r="I68" s="75">
        <v>400</v>
      </c>
      <c r="J68" s="75">
        <v>210</v>
      </c>
      <c r="K68" s="75">
        <f>+SUM(C68:J68)</f>
        <v>16810</v>
      </c>
      <c r="L68" s="75"/>
      <c r="M68" s="79">
        <v>0</v>
      </c>
      <c r="N68" s="79">
        <v>0</v>
      </c>
      <c r="O68" s="112">
        <v>0</v>
      </c>
      <c r="P68" s="112">
        <v>0</v>
      </c>
      <c r="Q68" s="137">
        <v>0</v>
      </c>
      <c r="R68" s="137">
        <v>0</v>
      </c>
      <c r="S68" s="112">
        <v>0</v>
      </c>
      <c r="T68" s="137">
        <v>0</v>
      </c>
      <c r="U68" s="137">
        <v>12600</v>
      </c>
      <c r="V68" s="313">
        <v>300</v>
      </c>
      <c r="W68" s="112">
        <v>0</v>
      </c>
      <c r="X68" s="112">
        <v>0</v>
      </c>
      <c r="Y68" s="137">
        <v>0</v>
      </c>
      <c r="Z68" s="137">
        <v>0</v>
      </c>
      <c r="AA68" s="112">
        <v>0</v>
      </c>
      <c r="AB68" s="112">
        <v>0</v>
      </c>
      <c r="AC68" s="112">
        <v>0</v>
      </c>
      <c r="AD68" s="137">
        <v>0</v>
      </c>
      <c r="AE68" s="137">
        <v>0</v>
      </c>
      <c r="AF68" s="112">
        <v>0</v>
      </c>
      <c r="AG68" s="313">
        <v>0</v>
      </c>
      <c r="AH68" s="112">
        <v>0</v>
      </c>
      <c r="AI68" s="313">
        <v>0</v>
      </c>
      <c r="AJ68" s="313">
        <v>0</v>
      </c>
      <c r="AK68" s="112"/>
      <c r="AL68" s="112"/>
      <c r="AM68" s="137">
        <v>0</v>
      </c>
      <c r="AN68" s="137">
        <v>0</v>
      </c>
      <c r="AO68" s="112">
        <v>0</v>
      </c>
      <c r="AP68" s="112">
        <v>0</v>
      </c>
      <c r="AQ68" s="137">
        <v>0</v>
      </c>
      <c r="AR68" s="137">
        <v>0</v>
      </c>
      <c r="AS68" s="112">
        <f>SUM(M68:AR68)</f>
        <v>12900</v>
      </c>
      <c r="AT68" s="75"/>
      <c r="AU68" s="75">
        <v>400</v>
      </c>
      <c r="AV68" s="75"/>
      <c r="AW68" s="118">
        <f>K68+AS68+AU68</f>
        <v>30110</v>
      </c>
    </row>
    <row r="69" spans="1:49" x14ac:dyDescent="0.25">
      <c r="A69" s="320">
        <v>50935</v>
      </c>
      <c r="B69" s="35" t="s">
        <v>96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f>+SUM(C69:J69)</f>
        <v>0</v>
      </c>
      <c r="L69" s="75"/>
      <c r="M69" s="79">
        <v>0</v>
      </c>
      <c r="N69" s="79">
        <v>0</v>
      </c>
      <c r="O69" s="112">
        <v>0</v>
      </c>
      <c r="P69" s="112">
        <v>0</v>
      </c>
      <c r="Q69" s="137">
        <v>0</v>
      </c>
      <c r="R69" s="137">
        <v>0</v>
      </c>
      <c r="S69" s="112">
        <v>0</v>
      </c>
      <c r="T69" s="137">
        <v>0</v>
      </c>
      <c r="U69" s="137">
        <v>0</v>
      </c>
      <c r="V69" s="313">
        <v>0</v>
      </c>
      <c r="W69" s="112">
        <v>0</v>
      </c>
      <c r="X69" s="112">
        <v>0</v>
      </c>
      <c r="Y69" s="137">
        <v>0</v>
      </c>
      <c r="Z69" s="137">
        <v>0</v>
      </c>
      <c r="AA69" s="112">
        <v>0</v>
      </c>
      <c r="AB69" s="112">
        <v>0</v>
      </c>
      <c r="AC69" s="112">
        <v>0</v>
      </c>
      <c r="AD69" s="137">
        <v>0</v>
      </c>
      <c r="AE69" s="137">
        <v>0</v>
      </c>
      <c r="AF69" s="112">
        <v>0</v>
      </c>
      <c r="AG69" s="313">
        <v>0</v>
      </c>
      <c r="AH69" s="112">
        <v>0</v>
      </c>
      <c r="AI69" s="313">
        <v>0</v>
      </c>
      <c r="AJ69" s="313">
        <v>0</v>
      </c>
      <c r="AK69" s="112"/>
      <c r="AL69" s="112"/>
      <c r="AM69" s="137">
        <v>0</v>
      </c>
      <c r="AN69" s="137">
        <v>0</v>
      </c>
      <c r="AO69" s="112">
        <v>0</v>
      </c>
      <c r="AP69" s="112">
        <v>0</v>
      </c>
      <c r="AQ69" s="137">
        <v>0</v>
      </c>
      <c r="AR69" s="137">
        <v>0</v>
      </c>
      <c r="AS69" s="112">
        <f>SUM(M69:AR69)</f>
        <v>0</v>
      </c>
      <c r="AT69" s="75"/>
      <c r="AU69" s="75">
        <v>0</v>
      </c>
      <c r="AV69" s="75"/>
      <c r="AW69" s="118">
        <f>K69+AS69+AU69</f>
        <v>0</v>
      </c>
    </row>
    <row r="70" spans="1:49" x14ac:dyDescent="0.25">
      <c r="A70" s="320">
        <v>50940</v>
      </c>
      <c r="B70" s="35" t="s">
        <v>179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16200</v>
      </c>
      <c r="J70" s="75">
        <v>0</v>
      </c>
      <c r="K70" s="75">
        <f>+SUM(C70:J70)</f>
        <v>16200</v>
      </c>
      <c r="L70" s="75"/>
      <c r="M70" s="79">
        <v>0</v>
      </c>
      <c r="N70" s="79">
        <v>0</v>
      </c>
      <c r="O70" s="112">
        <v>0</v>
      </c>
      <c r="P70" s="112">
        <v>0</v>
      </c>
      <c r="Q70" s="137">
        <v>0</v>
      </c>
      <c r="R70" s="137">
        <v>0</v>
      </c>
      <c r="S70" s="112">
        <v>0</v>
      </c>
      <c r="T70" s="137">
        <v>0</v>
      </c>
      <c r="U70" s="137">
        <v>11240</v>
      </c>
      <c r="V70" s="313">
        <v>0</v>
      </c>
      <c r="W70" s="112">
        <v>0</v>
      </c>
      <c r="X70" s="112">
        <v>0</v>
      </c>
      <c r="Y70" s="137">
        <v>0</v>
      </c>
      <c r="Z70" s="137">
        <v>0</v>
      </c>
      <c r="AA70" s="112">
        <v>0</v>
      </c>
      <c r="AB70" s="112">
        <v>0</v>
      </c>
      <c r="AC70" s="112">
        <v>0</v>
      </c>
      <c r="AD70" s="137">
        <v>0</v>
      </c>
      <c r="AE70" s="137">
        <v>0</v>
      </c>
      <c r="AF70" s="112">
        <v>0</v>
      </c>
      <c r="AG70" s="313">
        <v>0</v>
      </c>
      <c r="AH70" s="112">
        <v>0</v>
      </c>
      <c r="AI70" s="313">
        <v>0</v>
      </c>
      <c r="AJ70" s="313">
        <v>0</v>
      </c>
      <c r="AK70" s="112"/>
      <c r="AL70" s="112"/>
      <c r="AM70" s="137">
        <v>0</v>
      </c>
      <c r="AN70" s="137">
        <v>0</v>
      </c>
      <c r="AO70" s="112">
        <v>0</v>
      </c>
      <c r="AP70" s="112">
        <v>0</v>
      </c>
      <c r="AQ70" s="137">
        <v>0</v>
      </c>
      <c r="AR70" s="137">
        <v>0</v>
      </c>
      <c r="AS70" s="112">
        <f>SUM(M70:AR70)</f>
        <v>11240</v>
      </c>
      <c r="AT70" s="75"/>
      <c r="AU70" s="75">
        <v>875</v>
      </c>
      <c r="AV70" s="75"/>
      <c r="AW70" s="118">
        <f>K70+AS70+AU70</f>
        <v>28315</v>
      </c>
    </row>
    <row r="71" spans="1:49" x14ac:dyDescent="0.25">
      <c r="A71" s="320">
        <v>50945</v>
      </c>
      <c r="B71" s="35" t="s">
        <v>97</v>
      </c>
      <c r="C71" s="75">
        <v>0</v>
      </c>
      <c r="D71" s="75">
        <v>0</v>
      </c>
      <c r="E71" s="75">
        <v>0</v>
      </c>
      <c r="F71" s="75">
        <v>8995</v>
      </c>
      <c r="G71" s="75">
        <v>2000</v>
      </c>
      <c r="H71" s="75">
        <v>0</v>
      </c>
      <c r="I71" s="75">
        <v>21725</v>
      </c>
      <c r="J71" s="75">
        <v>4500</v>
      </c>
      <c r="K71" s="75">
        <f>+SUM(C71:J71)</f>
        <v>37220</v>
      </c>
      <c r="L71" s="75"/>
      <c r="M71" s="79">
        <v>0</v>
      </c>
      <c r="N71" s="79">
        <v>0</v>
      </c>
      <c r="O71" s="112">
        <v>0</v>
      </c>
      <c r="P71" s="112">
        <v>0</v>
      </c>
      <c r="Q71" s="137">
        <v>0</v>
      </c>
      <c r="R71" s="137">
        <v>0</v>
      </c>
      <c r="S71" s="112">
        <v>0</v>
      </c>
      <c r="T71" s="137">
        <v>0</v>
      </c>
      <c r="U71" s="137">
        <v>600</v>
      </c>
      <c r="V71" s="313">
        <v>1520</v>
      </c>
      <c r="W71" s="112">
        <v>0</v>
      </c>
      <c r="X71" s="112">
        <v>0</v>
      </c>
      <c r="Y71" s="137">
        <v>0</v>
      </c>
      <c r="Z71" s="137">
        <v>0</v>
      </c>
      <c r="AA71" s="112">
        <v>0</v>
      </c>
      <c r="AB71" s="112">
        <v>0</v>
      </c>
      <c r="AC71" s="112">
        <v>0</v>
      </c>
      <c r="AD71" s="137">
        <v>0</v>
      </c>
      <c r="AE71" s="137">
        <v>0</v>
      </c>
      <c r="AF71" s="112">
        <v>0</v>
      </c>
      <c r="AG71" s="313">
        <v>0</v>
      </c>
      <c r="AH71" s="112">
        <v>0</v>
      </c>
      <c r="AI71" s="313">
        <v>0</v>
      </c>
      <c r="AJ71" s="313">
        <v>0</v>
      </c>
      <c r="AK71" s="112"/>
      <c r="AL71" s="112"/>
      <c r="AM71" s="137">
        <v>0</v>
      </c>
      <c r="AN71" s="137">
        <v>6000</v>
      </c>
      <c r="AO71" s="112">
        <v>0</v>
      </c>
      <c r="AP71" s="112">
        <v>12000</v>
      </c>
      <c r="AQ71" s="137">
        <v>0</v>
      </c>
      <c r="AR71" s="137">
        <v>12000</v>
      </c>
      <c r="AS71" s="112">
        <f>SUM(M71:AR71)</f>
        <v>32120</v>
      </c>
      <c r="AT71" s="75"/>
      <c r="AU71" s="75">
        <v>1120</v>
      </c>
      <c r="AV71" s="75"/>
      <c r="AW71" s="118">
        <f>K71+AS71+AU71</f>
        <v>70460</v>
      </c>
    </row>
    <row r="72" spans="1:49" x14ac:dyDescent="0.25">
      <c r="A72" s="320">
        <v>51010</v>
      </c>
      <c r="B72" s="35" t="s">
        <v>98</v>
      </c>
      <c r="C72" s="75">
        <v>0</v>
      </c>
      <c r="D72" s="75">
        <v>126200</v>
      </c>
      <c r="E72" s="75">
        <v>0</v>
      </c>
      <c r="F72" s="75">
        <v>0</v>
      </c>
      <c r="G72" s="75">
        <v>0</v>
      </c>
      <c r="H72" s="75">
        <v>4320</v>
      </c>
      <c r="I72" s="75">
        <v>0</v>
      </c>
      <c r="J72" s="75">
        <v>0</v>
      </c>
      <c r="K72" s="75">
        <f>+SUM(C72:J72)</f>
        <v>130520</v>
      </c>
      <c r="L72" s="75"/>
      <c r="M72" s="79">
        <v>0</v>
      </c>
      <c r="N72" s="79">
        <v>0</v>
      </c>
      <c r="O72" s="112">
        <v>0</v>
      </c>
      <c r="P72" s="112">
        <v>0</v>
      </c>
      <c r="Q72" s="137">
        <v>0</v>
      </c>
      <c r="R72" s="137">
        <v>0</v>
      </c>
      <c r="S72" s="112">
        <v>0</v>
      </c>
      <c r="T72" s="137">
        <v>4632</v>
      </c>
      <c r="U72" s="137">
        <v>0</v>
      </c>
      <c r="V72" s="313">
        <v>0</v>
      </c>
      <c r="W72" s="112">
        <v>0</v>
      </c>
      <c r="X72" s="112">
        <v>0</v>
      </c>
      <c r="Y72" s="137">
        <v>0</v>
      </c>
      <c r="Z72" s="137">
        <v>0</v>
      </c>
      <c r="AA72" s="112">
        <v>0</v>
      </c>
      <c r="AB72" s="112">
        <v>0</v>
      </c>
      <c r="AC72" s="112">
        <v>0</v>
      </c>
      <c r="AD72" s="137">
        <v>0</v>
      </c>
      <c r="AE72" s="137">
        <v>0</v>
      </c>
      <c r="AF72" s="112">
        <v>0</v>
      </c>
      <c r="AG72" s="313">
        <v>0</v>
      </c>
      <c r="AH72" s="112">
        <v>0</v>
      </c>
      <c r="AI72" s="313">
        <v>0</v>
      </c>
      <c r="AJ72" s="313">
        <v>0</v>
      </c>
      <c r="AK72" s="112"/>
      <c r="AL72" s="112"/>
      <c r="AM72" s="137">
        <v>2220</v>
      </c>
      <c r="AN72" s="137">
        <v>0</v>
      </c>
      <c r="AO72" s="112">
        <v>0</v>
      </c>
      <c r="AP72" s="112">
        <v>0</v>
      </c>
      <c r="AQ72" s="137">
        <v>0</v>
      </c>
      <c r="AR72" s="137">
        <v>0</v>
      </c>
      <c r="AS72" s="112">
        <f>SUM(M72:AR72)</f>
        <v>6852</v>
      </c>
      <c r="AT72" s="75"/>
      <c r="AU72" s="75">
        <v>2400</v>
      </c>
      <c r="AV72" s="75"/>
      <c r="AW72" s="118">
        <f>K72+AS72+AU72</f>
        <v>139772</v>
      </c>
    </row>
    <row r="73" spans="1:49" x14ac:dyDescent="0.25">
      <c r="A73" s="320">
        <v>51310</v>
      </c>
      <c r="B73" s="35" t="s">
        <v>99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f>+SUM(C73:J73)</f>
        <v>0</v>
      </c>
      <c r="L73" s="75"/>
      <c r="M73" s="79">
        <v>0</v>
      </c>
      <c r="N73" s="79">
        <v>0</v>
      </c>
      <c r="O73" s="112">
        <v>0</v>
      </c>
      <c r="P73" s="112">
        <v>0</v>
      </c>
      <c r="Q73" s="137">
        <v>0</v>
      </c>
      <c r="R73" s="137">
        <v>0</v>
      </c>
      <c r="S73" s="112">
        <v>0</v>
      </c>
      <c r="T73" s="137">
        <v>275194</v>
      </c>
      <c r="U73" s="137">
        <v>0</v>
      </c>
      <c r="V73" s="313">
        <v>0</v>
      </c>
      <c r="W73" s="112">
        <v>0</v>
      </c>
      <c r="X73" s="112">
        <v>0</v>
      </c>
      <c r="Y73" s="137">
        <v>0</v>
      </c>
      <c r="Z73" s="137">
        <v>0</v>
      </c>
      <c r="AA73" s="112">
        <v>0</v>
      </c>
      <c r="AB73" s="112">
        <v>0</v>
      </c>
      <c r="AC73" s="112">
        <v>0</v>
      </c>
      <c r="AD73" s="137">
        <v>0</v>
      </c>
      <c r="AE73" s="137">
        <v>0</v>
      </c>
      <c r="AF73" s="112">
        <v>0</v>
      </c>
      <c r="AG73" s="313">
        <v>0</v>
      </c>
      <c r="AH73" s="112">
        <v>0</v>
      </c>
      <c r="AI73" s="313">
        <v>0</v>
      </c>
      <c r="AJ73" s="313">
        <v>0</v>
      </c>
      <c r="AK73" s="112"/>
      <c r="AL73" s="112"/>
      <c r="AM73" s="137">
        <v>0</v>
      </c>
      <c r="AN73" s="137">
        <v>0</v>
      </c>
      <c r="AO73" s="112">
        <v>0</v>
      </c>
      <c r="AP73" s="112">
        <v>0</v>
      </c>
      <c r="AQ73" s="137">
        <v>0</v>
      </c>
      <c r="AR73" s="137">
        <v>0</v>
      </c>
      <c r="AS73" s="112">
        <f>SUM(M73:AR73)</f>
        <v>275194</v>
      </c>
      <c r="AT73" s="75"/>
      <c r="AU73" s="75">
        <v>430296</v>
      </c>
      <c r="AV73" s="75"/>
      <c r="AW73" s="118">
        <f>K73+AS73+AU73</f>
        <v>705490</v>
      </c>
    </row>
    <row r="74" spans="1:49" x14ac:dyDescent="0.25">
      <c r="A74" s="320">
        <v>51315</v>
      </c>
      <c r="B74" s="35" t="s">
        <v>100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f>+SUM(C74:J74)</f>
        <v>0</v>
      </c>
      <c r="L74" s="75"/>
      <c r="M74" s="79">
        <v>0</v>
      </c>
      <c r="N74" s="79">
        <v>0</v>
      </c>
      <c r="O74" s="112">
        <v>0</v>
      </c>
      <c r="P74" s="112">
        <v>0</v>
      </c>
      <c r="Q74" s="137">
        <v>0</v>
      </c>
      <c r="R74" s="137">
        <v>0</v>
      </c>
      <c r="S74" s="112">
        <v>0</v>
      </c>
      <c r="T74" s="137">
        <v>61309</v>
      </c>
      <c r="U74" s="137">
        <v>0</v>
      </c>
      <c r="V74" s="313">
        <v>0</v>
      </c>
      <c r="W74" s="112">
        <v>0</v>
      </c>
      <c r="X74" s="112">
        <v>0</v>
      </c>
      <c r="Y74" s="137">
        <v>0</v>
      </c>
      <c r="Z74" s="137">
        <v>0</v>
      </c>
      <c r="AA74" s="112">
        <v>0</v>
      </c>
      <c r="AB74" s="112">
        <v>0</v>
      </c>
      <c r="AC74" s="112">
        <v>0</v>
      </c>
      <c r="AD74" s="137">
        <v>0</v>
      </c>
      <c r="AE74" s="137">
        <v>0</v>
      </c>
      <c r="AF74" s="112">
        <v>0</v>
      </c>
      <c r="AG74" s="313">
        <v>0</v>
      </c>
      <c r="AH74" s="112">
        <v>0</v>
      </c>
      <c r="AI74" s="313">
        <v>0</v>
      </c>
      <c r="AJ74" s="313">
        <v>0</v>
      </c>
      <c r="AK74" s="112"/>
      <c r="AL74" s="112"/>
      <c r="AM74" s="137">
        <v>0</v>
      </c>
      <c r="AN74" s="137">
        <v>0</v>
      </c>
      <c r="AO74" s="112">
        <v>0</v>
      </c>
      <c r="AP74" s="112">
        <v>0</v>
      </c>
      <c r="AQ74" s="137">
        <v>0</v>
      </c>
      <c r="AR74" s="137">
        <v>0</v>
      </c>
      <c r="AS74" s="112">
        <f>SUM(M74:AR74)</f>
        <v>61309</v>
      </c>
      <c r="AT74" s="75"/>
      <c r="AU74" s="75">
        <v>404929</v>
      </c>
      <c r="AV74" s="75"/>
      <c r="AW74" s="118">
        <f>K74+AS74+AU74</f>
        <v>466238</v>
      </c>
    </row>
    <row r="75" spans="1:49" x14ac:dyDescent="0.25">
      <c r="A75" s="320">
        <v>51320</v>
      </c>
      <c r="B75" s="35" t="s">
        <v>101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f>+SUM(C75:J75)</f>
        <v>0</v>
      </c>
      <c r="L75" s="75"/>
      <c r="M75" s="79">
        <v>0</v>
      </c>
      <c r="N75" s="79">
        <v>0</v>
      </c>
      <c r="O75" s="112">
        <v>0</v>
      </c>
      <c r="P75" s="112">
        <v>0</v>
      </c>
      <c r="Q75" s="137">
        <v>0</v>
      </c>
      <c r="R75" s="137">
        <v>0</v>
      </c>
      <c r="S75" s="112">
        <v>0</v>
      </c>
      <c r="T75" s="137">
        <v>0</v>
      </c>
      <c r="U75" s="137">
        <v>0</v>
      </c>
      <c r="V75" s="313">
        <v>0</v>
      </c>
      <c r="W75" s="112">
        <v>0</v>
      </c>
      <c r="X75" s="112">
        <v>0</v>
      </c>
      <c r="Y75" s="137">
        <v>0</v>
      </c>
      <c r="Z75" s="137">
        <v>0</v>
      </c>
      <c r="AA75" s="112">
        <v>0</v>
      </c>
      <c r="AB75" s="112">
        <v>0</v>
      </c>
      <c r="AC75" s="112">
        <v>0</v>
      </c>
      <c r="AD75" s="137">
        <v>0</v>
      </c>
      <c r="AE75" s="137">
        <v>0</v>
      </c>
      <c r="AF75" s="112">
        <v>0</v>
      </c>
      <c r="AG75" s="313">
        <v>0</v>
      </c>
      <c r="AH75" s="112">
        <v>0</v>
      </c>
      <c r="AI75" s="313">
        <v>0</v>
      </c>
      <c r="AJ75" s="313">
        <v>0</v>
      </c>
      <c r="AK75" s="112"/>
      <c r="AL75" s="112"/>
      <c r="AM75" s="137">
        <v>0</v>
      </c>
      <c r="AN75" s="137">
        <v>0</v>
      </c>
      <c r="AO75" s="112">
        <v>0</v>
      </c>
      <c r="AP75" s="112">
        <v>0</v>
      </c>
      <c r="AQ75" s="137">
        <v>0</v>
      </c>
      <c r="AR75" s="137">
        <v>0</v>
      </c>
      <c r="AS75" s="112">
        <f>SUM(M75:AR75)</f>
        <v>0</v>
      </c>
      <c r="AT75" s="75"/>
      <c r="AU75" s="75">
        <v>0</v>
      </c>
      <c r="AV75" s="75"/>
      <c r="AW75" s="118">
        <f>K75+AS75+AU75</f>
        <v>0</v>
      </c>
    </row>
    <row r="76" spans="1:49" x14ac:dyDescent="0.25">
      <c r="A76" s="320">
        <v>51325</v>
      </c>
      <c r="B76" s="35" t="s">
        <v>102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f>+SUM(C76:J76)</f>
        <v>0</v>
      </c>
      <c r="L76" s="75"/>
      <c r="M76" s="79">
        <v>0</v>
      </c>
      <c r="N76" s="79">
        <v>0</v>
      </c>
      <c r="O76" s="112">
        <v>0</v>
      </c>
      <c r="P76" s="112">
        <v>0</v>
      </c>
      <c r="Q76" s="137">
        <v>0</v>
      </c>
      <c r="R76" s="137">
        <v>0</v>
      </c>
      <c r="S76" s="112">
        <v>0</v>
      </c>
      <c r="T76" s="137">
        <v>122831</v>
      </c>
      <c r="U76" s="137">
        <v>0</v>
      </c>
      <c r="V76" s="313">
        <v>0</v>
      </c>
      <c r="W76" s="112">
        <v>0</v>
      </c>
      <c r="X76" s="112">
        <v>0</v>
      </c>
      <c r="Y76" s="137">
        <v>0</v>
      </c>
      <c r="Z76" s="137">
        <v>0</v>
      </c>
      <c r="AA76" s="112">
        <v>0</v>
      </c>
      <c r="AB76" s="112">
        <v>0</v>
      </c>
      <c r="AC76" s="112">
        <v>0</v>
      </c>
      <c r="AD76" s="137">
        <v>0</v>
      </c>
      <c r="AE76" s="137">
        <v>0</v>
      </c>
      <c r="AF76" s="112">
        <v>0</v>
      </c>
      <c r="AG76" s="313">
        <v>0</v>
      </c>
      <c r="AH76" s="112">
        <v>0</v>
      </c>
      <c r="AI76" s="313">
        <v>0</v>
      </c>
      <c r="AJ76" s="313">
        <v>0</v>
      </c>
      <c r="AK76" s="112"/>
      <c r="AL76" s="112"/>
      <c r="AM76" s="137">
        <v>0</v>
      </c>
      <c r="AN76" s="137">
        <v>0</v>
      </c>
      <c r="AO76" s="112">
        <v>0</v>
      </c>
      <c r="AP76" s="112">
        <v>0</v>
      </c>
      <c r="AQ76" s="137">
        <v>0</v>
      </c>
      <c r="AR76" s="137">
        <v>0</v>
      </c>
      <c r="AS76" s="112">
        <f>SUM(M76:AR76)</f>
        <v>122831</v>
      </c>
      <c r="AT76" s="75"/>
      <c r="AU76" s="75">
        <v>90940</v>
      </c>
      <c r="AV76" s="75"/>
      <c r="AW76" s="118">
        <f>K76+AS76+AU76</f>
        <v>213771</v>
      </c>
    </row>
    <row r="77" spans="1:49" x14ac:dyDescent="0.25">
      <c r="A77" s="320">
        <v>51326</v>
      </c>
      <c r="B77" s="35" t="s">
        <v>103</v>
      </c>
      <c r="C77" s="75">
        <v>0</v>
      </c>
      <c r="D77" s="75">
        <v>66626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f>+SUM(C77:J77)</f>
        <v>66626</v>
      </c>
      <c r="L77" s="75"/>
      <c r="M77" s="79">
        <v>0</v>
      </c>
      <c r="N77" s="79">
        <v>0</v>
      </c>
      <c r="O77" s="112">
        <v>0</v>
      </c>
      <c r="P77" s="112">
        <v>0</v>
      </c>
      <c r="Q77" s="137">
        <v>0</v>
      </c>
      <c r="R77" s="137">
        <v>0</v>
      </c>
      <c r="S77" s="112">
        <v>0</v>
      </c>
      <c r="T77" s="137">
        <v>0</v>
      </c>
      <c r="U77" s="137">
        <v>0</v>
      </c>
      <c r="V77" s="313">
        <v>0</v>
      </c>
      <c r="W77" s="112">
        <v>0</v>
      </c>
      <c r="X77" s="112">
        <v>0</v>
      </c>
      <c r="Y77" s="137">
        <v>0</v>
      </c>
      <c r="Z77" s="137">
        <v>0</v>
      </c>
      <c r="AA77" s="112">
        <v>0</v>
      </c>
      <c r="AB77" s="112">
        <v>0</v>
      </c>
      <c r="AC77" s="112">
        <v>0</v>
      </c>
      <c r="AD77" s="137">
        <v>0</v>
      </c>
      <c r="AE77" s="137">
        <v>0</v>
      </c>
      <c r="AF77" s="112">
        <v>0</v>
      </c>
      <c r="AG77" s="313">
        <v>0</v>
      </c>
      <c r="AH77" s="112">
        <v>0</v>
      </c>
      <c r="AI77" s="313">
        <v>0</v>
      </c>
      <c r="AJ77" s="313">
        <v>0</v>
      </c>
      <c r="AK77" s="112"/>
      <c r="AL77" s="112"/>
      <c r="AM77" s="137">
        <v>0</v>
      </c>
      <c r="AN77" s="137">
        <v>0</v>
      </c>
      <c r="AO77" s="112">
        <v>0</v>
      </c>
      <c r="AP77" s="112">
        <v>0</v>
      </c>
      <c r="AQ77" s="137">
        <v>0</v>
      </c>
      <c r="AR77" s="137">
        <v>0</v>
      </c>
      <c r="AS77" s="112">
        <f>SUM(M77:AR77)</f>
        <v>0</v>
      </c>
      <c r="AT77" s="75"/>
      <c r="AU77" s="75">
        <v>41635</v>
      </c>
      <c r="AV77" s="75"/>
      <c r="AW77" s="118">
        <f>K77+AS77+AU77</f>
        <v>108261</v>
      </c>
    </row>
    <row r="78" spans="1:49" x14ac:dyDescent="0.25">
      <c r="A78" s="320">
        <v>51330</v>
      </c>
      <c r="B78" s="35" t="s">
        <v>104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f>+SUM(C78:J78)</f>
        <v>0</v>
      </c>
      <c r="L78" s="75"/>
      <c r="M78" s="79">
        <v>0</v>
      </c>
      <c r="N78" s="79">
        <v>0</v>
      </c>
      <c r="O78" s="112">
        <v>0</v>
      </c>
      <c r="P78" s="112">
        <v>0</v>
      </c>
      <c r="Q78" s="137">
        <v>0</v>
      </c>
      <c r="R78" s="137">
        <v>0</v>
      </c>
      <c r="S78" s="112">
        <v>0</v>
      </c>
      <c r="T78" s="137">
        <v>870070</v>
      </c>
      <c r="U78" s="137">
        <v>0</v>
      </c>
      <c r="V78" s="313">
        <v>0</v>
      </c>
      <c r="W78" s="112">
        <v>0</v>
      </c>
      <c r="X78" s="112">
        <v>0</v>
      </c>
      <c r="Y78" s="137">
        <v>0</v>
      </c>
      <c r="Z78" s="137">
        <v>0</v>
      </c>
      <c r="AA78" s="112">
        <v>0</v>
      </c>
      <c r="AB78" s="112">
        <v>0</v>
      </c>
      <c r="AC78" s="112">
        <v>0</v>
      </c>
      <c r="AD78" s="137">
        <v>0</v>
      </c>
      <c r="AE78" s="137">
        <v>0</v>
      </c>
      <c r="AF78" s="112">
        <v>0</v>
      </c>
      <c r="AG78" s="313">
        <v>0</v>
      </c>
      <c r="AH78" s="112">
        <v>0</v>
      </c>
      <c r="AI78" s="313">
        <v>0</v>
      </c>
      <c r="AJ78" s="313">
        <v>0</v>
      </c>
      <c r="AK78" s="112"/>
      <c r="AL78" s="112"/>
      <c r="AM78" s="137">
        <v>0</v>
      </c>
      <c r="AN78" s="137">
        <v>0</v>
      </c>
      <c r="AO78" s="112">
        <v>0</v>
      </c>
      <c r="AP78" s="112">
        <v>0</v>
      </c>
      <c r="AQ78" s="137">
        <v>0</v>
      </c>
      <c r="AR78" s="137">
        <v>0</v>
      </c>
      <c r="AS78" s="112">
        <f>SUM(M78:AR78)</f>
        <v>870070</v>
      </c>
      <c r="AT78" s="75"/>
      <c r="AU78" s="75">
        <v>0</v>
      </c>
      <c r="AV78" s="75"/>
      <c r="AW78" s="118">
        <f>K78+AS78+AU78</f>
        <v>870070</v>
      </c>
    </row>
    <row r="79" spans="1:49" x14ac:dyDescent="0.25">
      <c r="A79" s="320">
        <v>51335</v>
      </c>
      <c r="B79" s="35" t="s">
        <v>105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f>+SUM(C79:J79)</f>
        <v>0</v>
      </c>
      <c r="L79" s="75"/>
      <c r="M79" s="79">
        <v>0</v>
      </c>
      <c r="N79" s="79">
        <v>0</v>
      </c>
      <c r="O79" s="112">
        <v>0</v>
      </c>
      <c r="P79" s="112">
        <v>0</v>
      </c>
      <c r="Q79" s="137">
        <v>0</v>
      </c>
      <c r="R79" s="137">
        <v>0</v>
      </c>
      <c r="S79" s="112">
        <v>0</v>
      </c>
      <c r="T79" s="137">
        <v>0</v>
      </c>
      <c r="U79" s="137">
        <v>0</v>
      </c>
      <c r="V79" s="313">
        <v>0</v>
      </c>
      <c r="W79" s="112">
        <v>0</v>
      </c>
      <c r="X79" s="112">
        <v>0</v>
      </c>
      <c r="Y79" s="137">
        <v>0</v>
      </c>
      <c r="Z79" s="137">
        <v>0</v>
      </c>
      <c r="AA79" s="112">
        <v>0</v>
      </c>
      <c r="AB79" s="112">
        <v>0</v>
      </c>
      <c r="AC79" s="112">
        <v>0</v>
      </c>
      <c r="AD79" s="137">
        <v>0</v>
      </c>
      <c r="AE79" s="137">
        <v>0</v>
      </c>
      <c r="AF79" s="112">
        <v>0</v>
      </c>
      <c r="AG79" s="313">
        <v>0</v>
      </c>
      <c r="AH79" s="112">
        <v>0</v>
      </c>
      <c r="AI79" s="313">
        <v>0</v>
      </c>
      <c r="AJ79" s="313">
        <v>0</v>
      </c>
      <c r="AK79" s="112"/>
      <c r="AL79" s="112"/>
      <c r="AM79" s="137">
        <v>0</v>
      </c>
      <c r="AN79" s="137">
        <v>0</v>
      </c>
      <c r="AO79" s="112">
        <v>0</v>
      </c>
      <c r="AP79" s="112">
        <v>0</v>
      </c>
      <c r="AQ79" s="137">
        <v>0</v>
      </c>
      <c r="AR79" s="137">
        <v>0</v>
      </c>
      <c r="AS79" s="112">
        <f>SUM(M79:AR79)</f>
        <v>0</v>
      </c>
      <c r="AT79" s="75"/>
      <c r="AU79" s="75">
        <v>7685776</v>
      </c>
      <c r="AV79" s="75"/>
      <c r="AW79" s="118">
        <f>K79+AS79+AU79</f>
        <v>7685776</v>
      </c>
    </row>
    <row r="80" spans="1:49" x14ac:dyDescent="0.25">
      <c r="A80" s="39">
        <v>51340</v>
      </c>
      <c r="B80" s="122" t="s">
        <v>106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75">
        <f>+SUM(C80:J80)</f>
        <v>0</v>
      </c>
      <c r="L80" s="75"/>
      <c r="M80" s="79">
        <v>0</v>
      </c>
      <c r="N80" s="79">
        <v>0</v>
      </c>
      <c r="O80" s="112">
        <v>0</v>
      </c>
      <c r="P80" s="112">
        <v>0</v>
      </c>
      <c r="Q80" s="137">
        <v>0</v>
      </c>
      <c r="R80" s="137">
        <v>0</v>
      </c>
      <c r="S80" s="112">
        <v>0</v>
      </c>
      <c r="T80" s="137">
        <v>0</v>
      </c>
      <c r="U80" s="138">
        <v>0</v>
      </c>
      <c r="V80" s="313">
        <v>0</v>
      </c>
      <c r="W80" s="112">
        <v>0</v>
      </c>
      <c r="X80" s="112">
        <v>0</v>
      </c>
      <c r="Y80" s="137">
        <v>0</v>
      </c>
      <c r="Z80" s="137">
        <v>0</v>
      </c>
      <c r="AA80" s="112">
        <v>0</v>
      </c>
      <c r="AB80" s="112">
        <v>0</v>
      </c>
      <c r="AC80" s="112">
        <v>0</v>
      </c>
      <c r="AD80" s="137">
        <v>0</v>
      </c>
      <c r="AE80" s="137">
        <v>0</v>
      </c>
      <c r="AF80" s="112">
        <v>0</v>
      </c>
      <c r="AG80" s="313">
        <v>0</v>
      </c>
      <c r="AH80" s="112">
        <v>0</v>
      </c>
      <c r="AI80" s="313">
        <v>0</v>
      </c>
      <c r="AJ80" s="313">
        <v>0</v>
      </c>
      <c r="AK80" s="112"/>
      <c r="AL80" s="112"/>
      <c r="AM80" s="137">
        <v>0</v>
      </c>
      <c r="AN80" s="137">
        <v>0</v>
      </c>
      <c r="AO80" s="112">
        <v>0</v>
      </c>
      <c r="AP80" s="113">
        <v>0</v>
      </c>
      <c r="AQ80" s="138">
        <v>0</v>
      </c>
      <c r="AR80" s="137">
        <v>0</v>
      </c>
      <c r="AS80" s="112">
        <f>SUM(M80:AR80)</f>
        <v>0</v>
      </c>
      <c r="AT80" s="75"/>
      <c r="AU80" s="75">
        <v>849858</v>
      </c>
      <c r="AV80" s="75"/>
      <c r="AW80" s="164">
        <f>K80+AS80+AU80</f>
        <v>849858</v>
      </c>
    </row>
    <row r="81" spans="1:49" s="13" customFormat="1" x14ac:dyDescent="0.25">
      <c r="A81" s="329" t="s">
        <v>107</v>
      </c>
      <c r="B81" s="329"/>
      <c r="C81" s="78">
        <f>SUM(C25:C80)</f>
        <v>349590</v>
      </c>
      <c r="D81" s="78">
        <f>SUM(D25:D80)</f>
        <v>314926</v>
      </c>
      <c r="E81" s="78">
        <f>SUM(E25:E80)</f>
        <v>352726</v>
      </c>
      <c r="F81" s="78">
        <f t="shared" ref="F81:AU81" si="4">SUM(F25:F80)</f>
        <v>592731</v>
      </c>
      <c r="G81" s="78">
        <f t="shared" si="4"/>
        <v>72040</v>
      </c>
      <c r="H81" s="78">
        <f t="shared" si="4"/>
        <v>647171</v>
      </c>
      <c r="I81" s="78">
        <f t="shared" si="4"/>
        <v>198850</v>
      </c>
      <c r="J81" s="78">
        <f t="shared" si="4"/>
        <v>456510</v>
      </c>
      <c r="K81" s="78">
        <f t="shared" si="4"/>
        <v>2984544</v>
      </c>
      <c r="L81" s="97"/>
      <c r="M81" s="78">
        <f>SUM(M25:M80)</f>
        <v>571432</v>
      </c>
      <c r="N81" s="78">
        <f>SUM(N25:N80)</f>
        <v>28858</v>
      </c>
      <c r="O81" s="78">
        <f t="shared" si="4"/>
        <v>53451</v>
      </c>
      <c r="P81" s="78">
        <f t="shared" si="4"/>
        <v>1837</v>
      </c>
      <c r="Q81" s="78">
        <f t="shared" si="4"/>
        <v>55156</v>
      </c>
      <c r="R81" s="78">
        <f t="shared" si="4"/>
        <v>104</v>
      </c>
      <c r="S81" s="78">
        <f t="shared" si="4"/>
        <v>340266</v>
      </c>
      <c r="T81" s="78">
        <f>SUM(T25:T80)</f>
        <v>2223332</v>
      </c>
      <c r="U81" s="78">
        <f>SUM(U25:U80)</f>
        <v>454955</v>
      </c>
      <c r="V81" s="78">
        <f>SUM(V25:V80)</f>
        <v>31435</v>
      </c>
      <c r="W81" s="78">
        <f t="shared" si="4"/>
        <v>149457</v>
      </c>
      <c r="X81" s="78">
        <f t="shared" si="4"/>
        <v>8609</v>
      </c>
      <c r="Y81" s="78">
        <f t="shared" si="4"/>
        <v>58578</v>
      </c>
      <c r="Z81" s="78">
        <f t="shared" si="4"/>
        <v>3426</v>
      </c>
      <c r="AA81" s="78">
        <f t="shared" si="4"/>
        <v>0</v>
      </c>
      <c r="AB81" s="78">
        <f t="shared" si="4"/>
        <v>132731</v>
      </c>
      <c r="AC81" s="78">
        <f t="shared" si="4"/>
        <v>4998</v>
      </c>
      <c r="AD81" s="78">
        <f t="shared" si="4"/>
        <v>11509</v>
      </c>
      <c r="AE81" s="78">
        <f t="shared" si="4"/>
        <v>391</v>
      </c>
      <c r="AF81" s="78">
        <f t="shared" si="4"/>
        <v>69882</v>
      </c>
      <c r="AG81" s="78">
        <f t="shared" si="4"/>
        <v>2829</v>
      </c>
      <c r="AH81" s="78">
        <f t="shared" ref="AH81:AJ81" si="5">SUM(AH25:AH80)</f>
        <v>3173172</v>
      </c>
      <c r="AI81" s="78">
        <f t="shared" si="5"/>
        <v>227616</v>
      </c>
      <c r="AJ81" s="78">
        <f t="shared" si="5"/>
        <v>1934580</v>
      </c>
      <c r="AK81" s="78">
        <f t="shared" si="4"/>
        <v>28303</v>
      </c>
      <c r="AL81" s="78">
        <f t="shared" si="4"/>
        <v>780</v>
      </c>
      <c r="AM81" s="78">
        <f t="shared" si="4"/>
        <v>235308</v>
      </c>
      <c r="AN81" s="78">
        <f t="shared" si="4"/>
        <v>6722</v>
      </c>
      <c r="AO81" s="78">
        <f t="shared" si="4"/>
        <v>20352</v>
      </c>
      <c r="AP81" s="78">
        <f t="shared" si="4"/>
        <v>30162</v>
      </c>
      <c r="AQ81" s="78">
        <f t="shared" si="4"/>
        <v>1130368</v>
      </c>
      <c r="AR81" s="78">
        <f t="shared" si="4"/>
        <v>33737</v>
      </c>
      <c r="AS81" s="78">
        <f t="shared" si="4"/>
        <v>11024336</v>
      </c>
      <c r="AT81" s="97"/>
      <c r="AU81" s="78">
        <f t="shared" si="4"/>
        <v>23946160</v>
      </c>
      <c r="AV81" s="97"/>
      <c r="AW81" s="78">
        <f>SUM(AW25:AW80)</f>
        <v>37955040</v>
      </c>
    </row>
    <row r="82" spans="1:49" s="38" customFormat="1" x14ac:dyDescent="0.25">
      <c r="A82" s="40"/>
      <c r="B82" s="40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</row>
    <row r="83" spans="1:49" s="13" customFormat="1" x14ac:dyDescent="0.25">
      <c r="A83" s="41"/>
      <c r="B83" s="45" t="s">
        <v>412</v>
      </c>
      <c r="C83" s="324">
        <f t="shared" ref="C83:AW83" si="6">C81+C23</f>
        <v>720773</v>
      </c>
      <c r="D83" s="324">
        <f t="shared" si="6"/>
        <v>463382</v>
      </c>
      <c r="E83" s="324">
        <f t="shared" si="6"/>
        <v>352726</v>
      </c>
      <c r="F83" s="324">
        <f t="shared" si="6"/>
        <v>2221284</v>
      </c>
      <c r="G83" s="324">
        <f t="shared" si="6"/>
        <v>650356</v>
      </c>
      <c r="H83" s="324">
        <f t="shared" si="6"/>
        <v>1214706</v>
      </c>
      <c r="I83" s="324">
        <f t="shared" si="6"/>
        <v>423097</v>
      </c>
      <c r="J83" s="324">
        <f t="shared" si="6"/>
        <v>780731</v>
      </c>
      <c r="K83" s="76">
        <f t="shared" si="6"/>
        <v>6827055</v>
      </c>
      <c r="L83" s="89"/>
      <c r="M83" s="324">
        <f>M81+M23</f>
        <v>571432</v>
      </c>
      <c r="N83" s="324">
        <f>N81+N23</f>
        <v>1827945</v>
      </c>
      <c r="O83" s="324">
        <f t="shared" si="6"/>
        <v>53451</v>
      </c>
      <c r="P83" s="324">
        <f t="shared" si="6"/>
        <v>106883</v>
      </c>
      <c r="Q83" s="324">
        <f t="shared" si="6"/>
        <v>55156</v>
      </c>
      <c r="R83" s="324">
        <f t="shared" si="6"/>
        <v>5332</v>
      </c>
      <c r="S83" s="324">
        <f t="shared" si="6"/>
        <v>340266</v>
      </c>
      <c r="T83" s="324">
        <f>T81+T23</f>
        <v>2223332</v>
      </c>
      <c r="U83" s="324">
        <f>U81+U23</f>
        <v>675805</v>
      </c>
      <c r="V83" s="324">
        <f>V81+V23</f>
        <v>685972</v>
      </c>
      <c r="W83" s="324">
        <f t="shared" si="6"/>
        <v>149457</v>
      </c>
      <c r="X83" s="324">
        <f t="shared" si="6"/>
        <v>511285</v>
      </c>
      <c r="Y83" s="324">
        <f t="shared" si="6"/>
        <v>58578</v>
      </c>
      <c r="Z83" s="324">
        <f t="shared" si="6"/>
        <v>197064</v>
      </c>
      <c r="AA83" s="324">
        <f t="shared" si="6"/>
        <v>0</v>
      </c>
      <c r="AB83" s="324">
        <f t="shared" si="6"/>
        <v>132731</v>
      </c>
      <c r="AC83" s="324">
        <f>AC81+AC23</f>
        <v>308535</v>
      </c>
      <c r="AD83" s="324">
        <f t="shared" si="6"/>
        <v>11509</v>
      </c>
      <c r="AE83" s="324">
        <f t="shared" si="6"/>
        <v>23506</v>
      </c>
      <c r="AF83" s="324">
        <f t="shared" si="6"/>
        <v>69882</v>
      </c>
      <c r="AG83" s="324">
        <f t="shared" si="6"/>
        <v>177397</v>
      </c>
      <c r="AH83" s="324">
        <f t="shared" ref="AH83:AJ83" si="7">AH81+AH23</f>
        <v>3173172</v>
      </c>
      <c r="AI83" s="324">
        <f t="shared" si="7"/>
        <v>227616</v>
      </c>
      <c r="AJ83" s="324">
        <f t="shared" si="7"/>
        <v>1934580</v>
      </c>
      <c r="AK83" s="324">
        <f t="shared" si="6"/>
        <v>28303</v>
      </c>
      <c r="AL83" s="324">
        <f t="shared" si="6"/>
        <v>32944</v>
      </c>
      <c r="AM83" s="324">
        <f t="shared" si="6"/>
        <v>235308</v>
      </c>
      <c r="AN83" s="324">
        <f t="shared" si="6"/>
        <v>545471</v>
      </c>
      <c r="AO83" s="324">
        <f t="shared" si="6"/>
        <v>20352</v>
      </c>
      <c r="AP83" s="324">
        <f t="shared" si="6"/>
        <v>865093</v>
      </c>
      <c r="AQ83" s="324">
        <f t="shared" si="6"/>
        <v>1130368</v>
      </c>
      <c r="AR83" s="324">
        <f t="shared" si="6"/>
        <v>1087455</v>
      </c>
      <c r="AS83" s="76">
        <f t="shared" si="6"/>
        <v>17466180</v>
      </c>
      <c r="AT83" s="89"/>
      <c r="AU83" s="324">
        <f t="shared" si="6"/>
        <v>24552755</v>
      </c>
      <c r="AV83" s="89"/>
      <c r="AW83" s="76">
        <f t="shared" si="6"/>
        <v>48845990</v>
      </c>
    </row>
    <row r="84" spans="1:49" s="74" customFormat="1" x14ac:dyDescent="0.25">
      <c r="A84" s="69"/>
      <c r="B84" s="69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</row>
    <row r="85" spans="1:49" x14ac:dyDescent="0.25">
      <c r="A85" s="1" t="s">
        <v>108</v>
      </c>
      <c r="B85" s="14"/>
      <c r="C85" s="105"/>
      <c r="D85" s="105"/>
      <c r="E85" s="105"/>
      <c r="F85" s="105"/>
      <c r="G85" s="105"/>
      <c r="H85" s="105"/>
      <c r="I85" s="105"/>
      <c r="J85" s="105"/>
      <c r="K85" s="105"/>
      <c r="L85" s="106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6"/>
      <c r="AU85" s="105"/>
      <c r="AV85" s="106"/>
      <c r="AW85" s="105"/>
    </row>
    <row r="86" spans="1:49" x14ac:dyDescent="0.25">
      <c r="A86" s="320">
        <v>40210</v>
      </c>
      <c r="B86" s="35" t="s">
        <v>109</v>
      </c>
      <c r="C86" s="75"/>
      <c r="D86" s="75"/>
      <c r="E86" s="75"/>
      <c r="F86" s="75">
        <v>12000</v>
      </c>
      <c r="G86" s="75"/>
      <c r="H86" s="75"/>
      <c r="I86" s="75"/>
      <c r="J86" s="75"/>
      <c r="K86" s="112">
        <f>SUM(C86:J86)</f>
        <v>12000</v>
      </c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>
        <f>SUM(M86:AQ86)</f>
        <v>0</v>
      </c>
      <c r="AT86" s="75"/>
      <c r="AU86" s="75">
        <v>0</v>
      </c>
      <c r="AV86" s="75"/>
      <c r="AW86" s="83">
        <f>K86+AS86+AU86</f>
        <v>12000</v>
      </c>
    </row>
    <row r="87" spans="1:49" x14ac:dyDescent="0.25">
      <c r="A87" s="320">
        <v>40225</v>
      </c>
      <c r="B87" s="35" t="s">
        <v>110</v>
      </c>
      <c r="C87" s="75"/>
      <c r="D87" s="75"/>
      <c r="E87" s="75"/>
      <c r="F87" s="75">
        <v>0</v>
      </c>
      <c r="G87" s="75"/>
      <c r="H87" s="75"/>
      <c r="I87" s="75"/>
      <c r="J87" s="75"/>
      <c r="K87" s="112">
        <f>SUM(C87:J87)</f>
        <v>0</v>
      </c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>
        <f>SUM(M87:AQ87)</f>
        <v>0</v>
      </c>
      <c r="AT87" s="75"/>
      <c r="AU87" s="75">
        <v>0</v>
      </c>
      <c r="AV87" s="75"/>
      <c r="AW87" s="83">
        <f>K87+AS87+AU87</f>
        <v>0</v>
      </c>
    </row>
    <row r="88" spans="1:49" x14ac:dyDescent="0.25">
      <c r="A88" s="320">
        <v>40230</v>
      </c>
      <c r="B88" s="35" t="s">
        <v>111</v>
      </c>
      <c r="C88" s="75"/>
      <c r="D88" s="75"/>
      <c r="E88" s="75"/>
      <c r="F88" s="75">
        <v>0</v>
      </c>
      <c r="G88" s="75"/>
      <c r="H88" s="75"/>
      <c r="I88" s="75"/>
      <c r="J88" s="75"/>
      <c r="K88" s="112">
        <f>SUM(C88:J88)</f>
        <v>0</v>
      </c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>
        <f>SUM(M88:AQ88)</f>
        <v>0</v>
      </c>
      <c r="AT88" s="75"/>
      <c r="AU88" s="75">
        <v>0</v>
      </c>
      <c r="AV88" s="75"/>
      <c r="AW88" s="83">
        <f>K88+AS88+AU88</f>
        <v>0</v>
      </c>
    </row>
    <row r="89" spans="1:49" x14ac:dyDescent="0.25">
      <c r="A89" s="320">
        <v>40235</v>
      </c>
      <c r="B89" s="35" t="s">
        <v>112</v>
      </c>
      <c r="C89" s="75"/>
      <c r="D89" s="75"/>
      <c r="E89" s="75"/>
      <c r="F89" s="75">
        <v>0</v>
      </c>
      <c r="G89" s="75"/>
      <c r="H89" s="75"/>
      <c r="I89" s="75"/>
      <c r="J89" s="75"/>
      <c r="K89" s="112">
        <f>SUM(C89:J89)</f>
        <v>0</v>
      </c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>
        <f>SUM(M89:AQ89)</f>
        <v>0</v>
      </c>
      <c r="AT89" s="75"/>
      <c r="AU89" s="75">
        <v>0</v>
      </c>
      <c r="AV89" s="75"/>
      <c r="AW89" s="83">
        <f>K89+AS89+AU89</f>
        <v>0</v>
      </c>
    </row>
    <row r="90" spans="1:49" hidden="1" x14ac:dyDescent="0.25">
      <c r="A90" s="320">
        <v>40241</v>
      </c>
      <c r="B90" s="35" t="s">
        <v>113</v>
      </c>
      <c r="C90" s="75"/>
      <c r="D90" s="75"/>
      <c r="E90" s="75"/>
      <c r="F90" s="75">
        <v>0</v>
      </c>
      <c r="G90" s="75"/>
      <c r="H90" s="75"/>
      <c r="I90" s="75"/>
      <c r="J90" s="75"/>
      <c r="K90" s="112">
        <f>SUM(C90:J90)</f>
        <v>0</v>
      </c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>
        <f>SUM(M90:AQ90)</f>
        <v>0</v>
      </c>
      <c r="AT90" s="75"/>
      <c r="AU90" s="75"/>
      <c r="AV90" s="75"/>
      <c r="AW90" s="83">
        <f>K90+AS90+AU90</f>
        <v>0</v>
      </c>
    </row>
    <row r="91" spans="1:49" x14ac:dyDescent="0.25">
      <c r="A91" s="320">
        <v>40243</v>
      </c>
      <c r="B91" s="35" t="s">
        <v>114</v>
      </c>
      <c r="C91" s="75"/>
      <c r="D91" s="75"/>
      <c r="E91" s="75"/>
      <c r="F91" s="75">
        <v>0</v>
      </c>
      <c r="G91" s="75"/>
      <c r="H91" s="75"/>
      <c r="I91" s="75"/>
      <c r="J91" s="75"/>
      <c r="K91" s="112">
        <f>SUM(C91:J91)</f>
        <v>0</v>
      </c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>
        <f>SUM(M91:AQ91)</f>
        <v>0</v>
      </c>
      <c r="AT91" s="75"/>
      <c r="AU91" s="75">
        <v>0</v>
      </c>
      <c r="AV91" s="75"/>
      <c r="AW91" s="83">
        <f>K91+AS91+AU91</f>
        <v>0</v>
      </c>
    </row>
    <row r="92" spans="1:49" hidden="1" x14ac:dyDescent="0.25">
      <c r="A92" s="320">
        <v>40244</v>
      </c>
      <c r="B92" s="35" t="s">
        <v>115</v>
      </c>
      <c r="C92" s="75"/>
      <c r="D92" s="75"/>
      <c r="E92" s="75"/>
      <c r="F92" s="75">
        <v>0</v>
      </c>
      <c r="G92" s="75"/>
      <c r="H92" s="75"/>
      <c r="I92" s="75"/>
      <c r="J92" s="75"/>
      <c r="K92" s="112">
        <f>SUM(C92:J92)</f>
        <v>0</v>
      </c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>
        <f>SUM(M92:AQ92)</f>
        <v>0</v>
      </c>
      <c r="AT92" s="75"/>
      <c r="AU92" s="75"/>
      <c r="AV92" s="75"/>
      <c r="AW92" s="83">
        <f>K92+AS92+AU92</f>
        <v>0</v>
      </c>
    </row>
    <row r="93" spans="1:49" x14ac:dyDescent="0.25">
      <c r="A93" s="320">
        <v>40249</v>
      </c>
      <c r="B93" s="35" t="s">
        <v>420</v>
      </c>
      <c r="C93" s="75"/>
      <c r="D93" s="75"/>
      <c r="E93" s="75"/>
      <c r="F93" s="75">
        <v>-125000</v>
      </c>
      <c r="G93" s="75"/>
      <c r="H93" s="75"/>
      <c r="I93" s="75"/>
      <c r="J93" s="75"/>
      <c r="K93" s="112">
        <f>SUM(C93:J93)</f>
        <v>-125000</v>
      </c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>
        <f>SUM(M93:AQ93)</f>
        <v>0</v>
      </c>
      <c r="AT93" s="75"/>
      <c r="AU93" s="75">
        <v>0</v>
      </c>
      <c r="AV93" s="75"/>
      <c r="AW93" s="83">
        <f>K93+AS93+AU93</f>
        <v>-125000</v>
      </c>
    </row>
    <row r="94" spans="1:49" hidden="1" x14ac:dyDescent="0.25">
      <c r="A94" s="320">
        <v>40246</v>
      </c>
      <c r="B94" s="35" t="s">
        <v>117</v>
      </c>
      <c r="C94" s="75"/>
      <c r="D94" s="75"/>
      <c r="E94" s="75"/>
      <c r="F94" s="75">
        <v>0</v>
      </c>
      <c r="G94" s="75"/>
      <c r="H94" s="75"/>
      <c r="I94" s="75"/>
      <c r="J94" s="75"/>
      <c r="K94" s="112">
        <f>SUM(C94:J94)</f>
        <v>0</v>
      </c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>
        <f>SUM(M94:AQ94)</f>
        <v>0</v>
      </c>
      <c r="AT94" s="75"/>
      <c r="AU94" s="75"/>
      <c r="AV94" s="75"/>
      <c r="AW94" s="83">
        <f>K94+AS94+AU94</f>
        <v>0</v>
      </c>
    </row>
    <row r="95" spans="1:49" x14ac:dyDescent="0.25">
      <c r="A95" s="320">
        <v>40247</v>
      </c>
      <c r="B95" s="35" t="s">
        <v>198</v>
      </c>
      <c r="C95" s="75"/>
      <c r="D95" s="75"/>
      <c r="E95" s="75"/>
      <c r="F95" s="75">
        <v>-112800</v>
      </c>
      <c r="G95" s="75"/>
      <c r="H95" s="75"/>
      <c r="I95" s="75"/>
      <c r="J95" s="75"/>
      <c r="K95" s="112">
        <f>SUM(C95:J95)</f>
        <v>-112800</v>
      </c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>
        <f>SUM(M95:AQ95)</f>
        <v>0</v>
      </c>
      <c r="AT95" s="75"/>
      <c r="AU95" s="75">
        <v>0</v>
      </c>
      <c r="AV95" s="75"/>
      <c r="AW95" s="83">
        <f>K95+AS95+AU95</f>
        <v>-112800</v>
      </c>
    </row>
    <row r="96" spans="1:49" x14ac:dyDescent="0.25">
      <c r="A96" s="320">
        <v>40248</v>
      </c>
      <c r="B96" s="35" t="s">
        <v>199</v>
      </c>
      <c r="C96" s="75"/>
      <c r="D96" s="75"/>
      <c r="E96" s="75"/>
      <c r="F96" s="75">
        <v>0</v>
      </c>
      <c r="G96" s="75"/>
      <c r="H96" s="75"/>
      <c r="I96" s="75"/>
      <c r="J96" s="75"/>
      <c r="K96" s="112">
        <f>SUM(C96:J96)</f>
        <v>0</v>
      </c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>
        <f>SUM(M96:AQ96)</f>
        <v>0</v>
      </c>
      <c r="AT96" s="75"/>
      <c r="AU96" s="75">
        <v>0</v>
      </c>
      <c r="AV96" s="75"/>
      <c r="AW96" s="83">
        <f>K96+AS96+AU96</f>
        <v>0</v>
      </c>
    </row>
    <row r="97" spans="1:51" x14ac:dyDescent="0.25">
      <c r="A97" s="320">
        <v>40300</v>
      </c>
      <c r="B97" s="35" t="s">
        <v>119</v>
      </c>
      <c r="C97" s="75"/>
      <c r="D97" s="75"/>
      <c r="E97" s="75"/>
      <c r="F97" s="75">
        <v>32088804</v>
      </c>
      <c r="G97" s="75"/>
      <c r="H97" s="75"/>
      <c r="I97" s="75"/>
      <c r="J97" s="75"/>
      <c r="K97" s="112">
        <f>SUM(C97:J97)</f>
        <v>32088804</v>
      </c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>
        <f>SUM(M97:AQ97)</f>
        <v>0</v>
      </c>
      <c r="AT97" s="75"/>
      <c r="AU97" s="75">
        <v>0</v>
      </c>
      <c r="AV97" s="75"/>
      <c r="AW97" s="83">
        <f>K97+AS97+AU97</f>
        <v>32088804</v>
      </c>
    </row>
    <row r="98" spans="1:51" hidden="1" x14ac:dyDescent="0.25">
      <c r="B98" s="35"/>
      <c r="C98" s="75"/>
      <c r="D98" s="75"/>
      <c r="E98" s="75"/>
      <c r="F98" s="75"/>
      <c r="G98" s="75"/>
      <c r="H98" s="75"/>
      <c r="I98" s="75"/>
      <c r="J98" s="75"/>
      <c r="K98" s="112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83">
        <f>K98+AS98+AU98</f>
        <v>0</v>
      </c>
    </row>
    <row r="99" spans="1:51" x14ac:dyDescent="0.25">
      <c r="A99" s="320">
        <v>40400</v>
      </c>
      <c r="B99" s="35" t="s">
        <v>120</v>
      </c>
      <c r="C99" s="75"/>
      <c r="D99" s="75"/>
      <c r="E99" s="75"/>
      <c r="F99" s="75">
        <v>3307158</v>
      </c>
      <c r="G99" s="75"/>
      <c r="H99" s="75"/>
      <c r="I99" s="75"/>
      <c r="J99" s="75"/>
      <c r="K99" s="112">
        <f>SUM(C99:J99)</f>
        <v>3307158</v>
      </c>
      <c r="L99" s="75"/>
      <c r="M99" s="75"/>
      <c r="N99" s="75"/>
      <c r="O99" s="75"/>
      <c r="P99" s="75"/>
      <c r="Q99" s="75"/>
      <c r="R99" s="75"/>
      <c r="S99" s="75"/>
      <c r="T99" s="75">
        <v>6742766</v>
      </c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>
        <f>SUM(M99:AQ99)</f>
        <v>6742766</v>
      </c>
      <c r="AT99" s="75"/>
      <c r="AU99" s="75">
        <v>11731917</v>
      </c>
      <c r="AV99" s="75"/>
      <c r="AW99" s="83">
        <f>K99+AS99+AU99</f>
        <v>21781841</v>
      </c>
    </row>
    <row r="100" spans="1:51" x14ac:dyDescent="0.25">
      <c r="A100" s="320">
        <v>40410</v>
      </c>
      <c r="B100" s="35" t="s">
        <v>121</v>
      </c>
      <c r="C100" s="75"/>
      <c r="D100" s="75"/>
      <c r="E100" s="75"/>
      <c r="F100" s="83">
        <v>4609056</v>
      </c>
      <c r="G100" s="75"/>
      <c r="H100" s="75"/>
      <c r="I100" s="75"/>
      <c r="J100" s="75"/>
      <c r="K100" s="112">
        <f>SUM(C100:J100)</f>
        <v>4609056</v>
      </c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>
        <f>SUM(M100:AQ100)</f>
        <v>0</v>
      </c>
      <c r="AT100" s="75"/>
      <c r="AU100" s="75">
        <v>0</v>
      </c>
      <c r="AV100" s="75"/>
      <c r="AW100" s="83">
        <f>K100+AS100+AU100</f>
        <v>4609056</v>
      </c>
    </row>
    <row r="101" spans="1:51" x14ac:dyDescent="0.25">
      <c r="A101" s="320">
        <v>40413</v>
      </c>
      <c r="B101" s="35" t="s">
        <v>122</v>
      </c>
      <c r="C101" s="75"/>
      <c r="D101" s="75"/>
      <c r="E101" s="75"/>
      <c r="F101" s="75">
        <v>0</v>
      </c>
      <c r="G101" s="75"/>
      <c r="H101" s="75"/>
      <c r="I101" s="75"/>
      <c r="J101" s="75"/>
      <c r="K101" s="112">
        <f>SUM(C101:J101)</f>
        <v>0</v>
      </c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>
        <f>SUM(M101:AQ101)</f>
        <v>0</v>
      </c>
      <c r="AT101" s="75"/>
      <c r="AU101" s="75">
        <v>0</v>
      </c>
      <c r="AV101" s="75"/>
      <c r="AW101" s="83">
        <f>K101+AS101+AU101</f>
        <v>0</v>
      </c>
    </row>
    <row r="102" spans="1:51" x14ac:dyDescent="0.25">
      <c r="A102" s="39">
        <v>40414</v>
      </c>
      <c r="B102" s="122" t="s">
        <v>123</v>
      </c>
      <c r="C102" s="84"/>
      <c r="D102" s="84"/>
      <c r="E102" s="84"/>
      <c r="F102" s="84">
        <v>0</v>
      </c>
      <c r="G102" s="84"/>
      <c r="H102" s="84"/>
      <c r="I102" s="84"/>
      <c r="J102" s="84"/>
      <c r="K102" s="84">
        <f>SUM(C102:J102)</f>
        <v>0</v>
      </c>
      <c r="L102" s="75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>
        <f>SUM(M102:AQ102)</f>
        <v>0</v>
      </c>
      <c r="AT102" s="75"/>
      <c r="AU102" s="84">
        <v>0</v>
      </c>
      <c r="AV102" s="75"/>
      <c r="AW102" s="88">
        <f>K102+AS102+AU102</f>
        <v>0</v>
      </c>
    </row>
    <row r="103" spans="1:51" s="13" customFormat="1" x14ac:dyDescent="0.25">
      <c r="A103" s="10"/>
      <c r="B103" s="45" t="s">
        <v>124</v>
      </c>
      <c r="C103" s="76">
        <f t="shared" ref="C103:K103" si="8">SUM(C86:C102)</f>
        <v>0</v>
      </c>
      <c r="D103" s="76">
        <f t="shared" si="8"/>
        <v>0</v>
      </c>
      <c r="E103" s="76">
        <f t="shared" si="8"/>
        <v>0</v>
      </c>
      <c r="F103" s="76">
        <f t="shared" si="8"/>
        <v>39779218</v>
      </c>
      <c r="G103" s="76">
        <f t="shared" si="8"/>
        <v>0</v>
      </c>
      <c r="H103" s="76">
        <f t="shared" si="8"/>
        <v>0</v>
      </c>
      <c r="I103" s="76">
        <f t="shared" si="8"/>
        <v>0</v>
      </c>
      <c r="J103" s="76">
        <f>SUM(J86:J102)</f>
        <v>0</v>
      </c>
      <c r="K103" s="76">
        <f t="shared" si="8"/>
        <v>39779218</v>
      </c>
      <c r="L103" s="89"/>
      <c r="M103" s="76">
        <f t="shared" ref="M103:X103" si="9">SUM(M86:M89,M97:M102)-M91-M93</f>
        <v>0</v>
      </c>
      <c r="N103" s="76">
        <f t="shared" si="9"/>
        <v>0</v>
      </c>
      <c r="O103" s="76">
        <f t="shared" si="9"/>
        <v>0</v>
      </c>
      <c r="P103" s="76">
        <f t="shared" si="9"/>
        <v>0</v>
      </c>
      <c r="Q103" s="76">
        <f t="shared" si="9"/>
        <v>0</v>
      </c>
      <c r="R103" s="76">
        <f t="shared" si="9"/>
        <v>0</v>
      </c>
      <c r="S103" s="76">
        <f t="shared" si="9"/>
        <v>0</v>
      </c>
      <c r="T103" s="76">
        <f t="shared" si="9"/>
        <v>6742766</v>
      </c>
      <c r="U103" s="76">
        <f t="shared" si="9"/>
        <v>0</v>
      </c>
      <c r="V103" s="76">
        <f t="shared" si="9"/>
        <v>0</v>
      </c>
      <c r="W103" s="76">
        <f t="shared" si="9"/>
        <v>0</v>
      </c>
      <c r="X103" s="76">
        <f t="shared" si="9"/>
        <v>0</v>
      </c>
      <c r="Y103" s="76">
        <f>SUM(Y86:Y89,Y97:Y102)-Y91-Y93</f>
        <v>0</v>
      </c>
      <c r="Z103" s="76">
        <f>SUM(Z86:Z89,Z97:Z102)-Z91-Z93</f>
        <v>0</v>
      </c>
      <c r="AA103" s="76"/>
      <c r="AB103" s="76">
        <f t="shared" ref="AB103:AS103" si="10">SUM(AB86:AB89,AB97:AB102)-AB91-AB93</f>
        <v>0</v>
      </c>
      <c r="AC103" s="76">
        <f t="shared" si="10"/>
        <v>0</v>
      </c>
      <c r="AD103" s="76">
        <f t="shared" si="10"/>
        <v>0</v>
      </c>
      <c r="AE103" s="76">
        <f t="shared" si="10"/>
        <v>0</v>
      </c>
      <c r="AF103" s="76">
        <f t="shared" si="10"/>
        <v>0</v>
      </c>
      <c r="AG103" s="76">
        <f t="shared" si="10"/>
        <v>0</v>
      </c>
      <c r="AH103" s="76">
        <f t="shared" ref="AH103" si="11">SUM(AH86:AH89,AH97:AH102)-AH91-AH93</f>
        <v>0</v>
      </c>
      <c r="AI103" s="76">
        <v>0</v>
      </c>
      <c r="AJ103" s="76">
        <v>0</v>
      </c>
      <c r="AK103" s="76">
        <f t="shared" si="10"/>
        <v>0</v>
      </c>
      <c r="AL103" s="76">
        <f t="shared" si="10"/>
        <v>0</v>
      </c>
      <c r="AM103" s="76">
        <f t="shared" si="10"/>
        <v>0</v>
      </c>
      <c r="AN103" s="76">
        <f t="shared" si="10"/>
        <v>0</v>
      </c>
      <c r="AO103" s="76">
        <f t="shared" si="10"/>
        <v>0</v>
      </c>
      <c r="AP103" s="76">
        <f t="shared" si="10"/>
        <v>0</v>
      </c>
      <c r="AQ103" s="76">
        <f t="shared" si="10"/>
        <v>0</v>
      </c>
      <c r="AR103" s="76">
        <f t="shared" si="10"/>
        <v>0</v>
      </c>
      <c r="AS103" s="76">
        <f t="shared" si="10"/>
        <v>6742766</v>
      </c>
      <c r="AT103" s="89"/>
      <c r="AU103" s="76">
        <f>SUM(AU86:AU89,AU97:AU102)-AU91-AU93</f>
        <v>11731917</v>
      </c>
      <c r="AV103" s="89"/>
      <c r="AW103" s="76">
        <f>SUM(AW86:AW102)</f>
        <v>58253901</v>
      </c>
    </row>
    <row r="104" spans="1:51" ht="15" customHeight="1" x14ac:dyDescent="0.25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83"/>
    </row>
    <row r="105" spans="1:51" x14ac:dyDescent="0.25">
      <c r="B105" s="5" t="s">
        <v>424</v>
      </c>
      <c r="C105" s="75"/>
      <c r="D105" s="75"/>
      <c r="E105" s="75"/>
      <c r="F105" s="75"/>
      <c r="G105" s="75"/>
      <c r="H105" s="75"/>
      <c r="I105" s="75"/>
      <c r="J105" s="75"/>
      <c r="K105" s="75">
        <f>K6-K83+K103</f>
        <v>32952163</v>
      </c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>
        <f>AS6-AS83+AS103</f>
        <v>-6480660</v>
      </c>
      <c r="AT105" s="75"/>
      <c r="AU105" s="107">
        <f>AU6-AU83+AU103</f>
        <v>-12557921</v>
      </c>
      <c r="AV105" s="75"/>
      <c r="AW105" s="83">
        <f>AW6-AW83+AW103</f>
        <v>13913582</v>
      </c>
    </row>
    <row r="106" spans="1:51" hidden="1" x14ac:dyDescent="0.25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107" t="s">
        <v>126</v>
      </c>
      <c r="AV106" s="75"/>
      <c r="AW106" s="83">
        <f>AW6-AW84+AW103</f>
        <v>62759572</v>
      </c>
    </row>
    <row r="107" spans="1:51" x14ac:dyDescent="0.25"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</row>
    <row r="108" spans="1:51" ht="68.7" customHeight="1" x14ac:dyDescent="0.25">
      <c r="C108" s="108" t="str">
        <f>C1</f>
        <v>FY 2022
100
CEO</v>
      </c>
      <c r="D108" s="108" t="str">
        <f>D1</f>
        <v>FY 2022
105
Administration</v>
      </c>
      <c r="E108" s="108" t="str">
        <f>E1</f>
        <v>FY 2022
110
Board</v>
      </c>
      <c r="F108" s="108" t="str">
        <f>F1</f>
        <v>FY 2022
120
Finance</v>
      </c>
      <c r="G108" s="108" t="str">
        <f>G1</f>
        <v>FY 2022
130
Planning</v>
      </c>
      <c r="H108" s="108" t="str">
        <f>H1</f>
        <v>FY 2022
140
C&amp;M</v>
      </c>
      <c r="I108" s="108" t="str">
        <f>I1</f>
        <v>FY 2022
170
Human Resources</v>
      </c>
      <c r="J108" s="108" t="str">
        <f>J1</f>
        <v>FY 2022
180
Information Technology</v>
      </c>
      <c r="K108" s="108" t="str">
        <f>K1</f>
        <v>TOTAL
FY 2022
G&amp;A</v>
      </c>
      <c r="L108" s="108"/>
      <c r="M108" s="108" t="str">
        <f>M1</f>
        <v>FY 2022
200
UNT</v>
      </c>
      <c r="N108" s="108" t="str">
        <f>N1</f>
        <v>FY 2022
701
NTMC UNT</v>
      </c>
      <c r="O108" s="108" t="str">
        <f>O1</f>
        <v>FY 2022
220
Frisco</v>
      </c>
      <c r="P108" s="108" t="str">
        <f>P1</f>
        <v>FY 2022
703
NTMC Frisco</v>
      </c>
      <c r="Q108" s="108" t="str">
        <f>Q1</f>
        <v>FY 2022
230
CCT</v>
      </c>
      <c r="R108" s="108" t="str">
        <f>R1</f>
        <v>FY 2022
704
NTMC CCT</v>
      </c>
      <c r="S108" s="108" t="str">
        <f>S1</f>
        <v>FY 2022
240
MaaS</v>
      </c>
      <c r="T108" s="108" t="str">
        <f>T1</f>
        <v>FY 2022
500
Bus Admin</v>
      </c>
      <c r="U108" s="108" t="str">
        <f>U1</f>
        <v>FY 2022
700
NTMC Bus Admin</v>
      </c>
      <c r="V108" s="108" t="str">
        <f>V1</f>
        <v>FY 2022
505
Mobility Services</v>
      </c>
      <c r="W108" s="108" t="str">
        <f>W1</f>
        <v>FY 2022
511
Denton
Fixed Route</v>
      </c>
      <c r="X108" s="108" t="str">
        <f>X1</f>
        <v>FY 2022
711
NTMC Denton
Fixed Route</v>
      </c>
      <c r="Y108" s="108" t="str">
        <f>Y1</f>
        <v>FY 2022
513
Lewisville
Fixed Route</v>
      </c>
      <c r="Z108" s="108" t="str">
        <f>Z1</f>
        <v>FY 2022
713
NTMC Lewisville
Fixed Route</v>
      </c>
      <c r="AA108" s="108" t="str">
        <f>AA1</f>
        <v>FY 2022
730
NTMC Demand Response</v>
      </c>
      <c r="AB108" s="108" t="str">
        <f>AB1</f>
        <v>FY 2022
531
Denton
Demand Response</v>
      </c>
      <c r="AC108" s="108" t="str">
        <f>AC1</f>
        <v>FY 2022
731
NTMC Denton
Demand Response</v>
      </c>
      <c r="AD108" s="108" t="str">
        <f>AD1</f>
        <v>FY 2022
532
HV
Demand Response</v>
      </c>
      <c r="AE108" s="108" t="str">
        <f>AE1</f>
        <v>FY 2022
732
NTMC HV
Demand Response</v>
      </c>
      <c r="AF108" s="108" t="str">
        <f>AF1</f>
        <v>FY 2022
533
Lewisville
Demand Response</v>
      </c>
      <c r="AG108" s="108" t="str">
        <f>AG1</f>
        <v>FY 2022
733
NTMC Lewisville
Demand Response</v>
      </c>
      <c r="AH108" s="108" t="str">
        <f>AH1</f>
        <v>FY 2022
535
Denton
GoZone</v>
      </c>
      <c r="AI108" s="108" t="s">
        <v>231</v>
      </c>
      <c r="AJ108" s="108" t="s">
        <v>233</v>
      </c>
      <c r="AK108" s="108" t="str">
        <f>AK1</f>
        <v>FY 2022
540
NTX</v>
      </c>
      <c r="AL108" s="108" t="str">
        <f>AL1</f>
        <v>FY 2022
740
NTMC NTX</v>
      </c>
      <c r="AM108" s="108" t="str">
        <f>AM1</f>
        <v>FY 2022
570
Customer Service</v>
      </c>
      <c r="AN108" s="108" t="str">
        <f>AN1</f>
        <v>FY 2022
770
NTMC Customer Service</v>
      </c>
      <c r="AO108" s="108" t="str">
        <f>AO1</f>
        <v>FY 2022
580
S&amp;D</v>
      </c>
      <c r="AP108" s="108" t="str">
        <f>AP1</f>
        <v>FY 2022
780
NTMC S&amp;D</v>
      </c>
      <c r="AQ108" s="108" t="str">
        <f>AQ1</f>
        <v>FY 2022
590
Maintenance</v>
      </c>
      <c r="AR108" s="108" t="str">
        <f>AR1</f>
        <v>FY 2022
790
NTMC Maintenance</v>
      </c>
      <c r="AS108" s="108" t="str">
        <f>AS1</f>
        <v>TOTAL
FY 2022
Bus
Services
(DCTA + NTMC)</v>
      </c>
      <c r="AT108" s="108"/>
      <c r="AU108" s="108" t="str">
        <f>AU1</f>
        <v>TOTAL 
FY 2022
Rail 
Operations</v>
      </c>
      <c r="AV108" s="108"/>
      <c r="AW108" s="108" t="s">
        <v>192</v>
      </c>
      <c r="AX108" s="321"/>
    </row>
    <row r="109" spans="1:51" x14ac:dyDescent="0.25">
      <c r="B109" s="35" t="s">
        <v>129</v>
      </c>
      <c r="C109" s="75">
        <f>SUM(C9:C12)</f>
        <v>288659</v>
      </c>
      <c r="D109" s="75">
        <f>SUM(D9:D12)</f>
        <v>100080</v>
      </c>
      <c r="E109" s="75">
        <f>SUM(E9:E12)</f>
        <v>0</v>
      </c>
      <c r="F109" s="75">
        <f>SUM(F9:F12)</f>
        <v>1154880</v>
      </c>
      <c r="G109" s="75">
        <f>SUM(G9:G12)</f>
        <v>428900</v>
      </c>
      <c r="H109" s="75">
        <f>SUM(H9:H12)</f>
        <v>403724</v>
      </c>
      <c r="I109" s="75">
        <f>SUM(I9:I12)</f>
        <v>166524</v>
      </c>
      <c r="J109" s="75">
        <f>SUM(J9:J12)</f>
        <v>244840</v>
      </c>
      <c r="K109" s="75">
        <f>SUM(K9:K12)</f>
        <v>2787607</v>
      </c>
      <c r="L109" s="75"/>
      <c r="M109" s="75">
        <f>SUM(M9:M12)</f>
        <v>0</v>
      </c>
      <c r="N109" s="75">
        <f>SUM(N9:N12)</f>
        <v>1216349</v>
      </c>
      <c r="O109" s="75">
        <f>SUM(O9:O12)</f>
        <v>0</v>
      </c>
      <c r="P109" s="75">
        <f>SUM(P9:P12)</f>
        <v>71304</v>
      </c>
      <c r="Q109" s="75">
        <f>SUM(Q9:Q12)</f>
        <v>0</v>
      </c>
      <c r="R109" s="75">
        <f>SUM(R9:R12)</f>
        <v>3417</v>
      </c>
      <c r="S109" s="75">
        <f>SUM(S9:S12)</f>
        <v>0</v>
      </c>
      <c r="T109" s="75">
        <f>SUM(T9:T12)</f>
        <v>0</v>
      </c>
      <c r="U109" s="75">
        <f>SUM(U9:U12)</f>
        <v>141353</v>
      </c>
      <c r="V109" s="75">
        <f>SUM(V9:V12)</f>
        <v>455749</v>
      </c>
      <c r="W109" s="75">
        <f>SUM(W9:W12)</f>
        <v>0</v>
      </c>
      <c r="X109" s="75">
        <f>SUM(X9:X12)</f>
        <v>332611</v>
      </c>
      <c r="Y109" s="75">
        <f>SUM(Y9:Y12)</f>
        <v>0</v>
      </c>
      <c r="Z109" s="75">
        <f>SUM(Z9:Z12)</f>
        <v>123482</v>
      </c>
      <c r="AA109" s="75">
        <f>SUM(AA9:AA12)</f>
        <v>0</v>
      </c>
      <c r="AB109" s="75">
        <f>SUM(AB9:AB12)</f>
        <v>0</v>
      </c>
      <c r="AC109" s="75">
        <f>SUM(AC9:AC12)</f>
        <v>205745</v>
      </c>
      <c r="AD109" s="75">
        <f>SUM(AD9:AD12)</f>
        <v>0</v>
      </c>
      <c r="AE109" s="75">
        <f>SUM(AE9:AE12)</f>
        <v>15671</v>
      </c>
      <c r="AF109" s="75">
        <f>SUM(AF9:AF12)</f>
        <v>0</v>
      </c>
      <c r="AG109" s="75">
        <f>SUM(AG9:AG12)</f>
        <v>118318</v>
      </c>
      <c r="AH109" s="75">
        <f>SUM(AH9:AH12)</f>
        <v>0</v>
      </c>
      <c r="AI109" s="75">
        <f>SUM(AI9:AI12)</f>
        <v>0</v>
      </c>
      <c r="AJ109" s="75">
        <f>SUM(AJ9:AJ12)</f>
        <v>0</v>
      </c>
      <c r="AK109" s="75">
        <f>SUM(AK9:AK12)</f>
        <v>0</v>
      </c>
      <c r="AL109" s="75">
        <f>SUM(AL9:AL12)</f>
        <v>21796</v>
      </c>
      <c r="AM109" s="75">
        <f>SUM(AM9:AM12)</f>
        <v>0</v>
      </c>
      <c r="AN109" s="75">
        <f>SUM(AN9:AN12)</f>
        <v>342043</v>
      </c>
      <c r="AO109" s="75">
        <f>SUM(AO9:AO12)</f>
        <v>0</v>
      </c>
      <c r="AP109" s="75">
        <f>SUM(AP9:AP12)</f>
        <v>561540</v>
      </c>
      <c r="AQ109" s="75">
        <f>SUM(AQ9:AQ12)</f>
        <v>0</v>
      </c>
      <c r="AR109" s="75">
        <f>SUM(AR9:AR12)</f>
        <v>735170</v>
      </c>
      <c r="AS109" s="75">
        <f>SUM(AS9:AS12)</f>
        <v>4344548</v>
      </c>
      <c r="AT109" s="75"/>
      <c r="AU109" s="75">
        <f>SUM(AU9:AU12)</f>
        <v>448137</v>
      </c>
      <c r="AV109" s="75"/>
      <c r="AW109" s="75">
        <f>SUM(AW9:AW12)</f>
        <v>7580292</v>
      </c>
      <c r="AX109" s="118"/>
      <c r="AY109" s="83"/>
    </row>
    <row r="110" spans="1:51" s="323" customFormat="1" x14ac:dyDescent="0.25">
      <c r="A110" s="322"/>
      <c r="B110" s="35" t="s">
        <v>425</v>
      </c>
      <c r="C110" s="75">
        <f>SUM(C13:C22)</f>
        <v>82524</v>
      </c>
      <c r="D110" s="75">
        <f>SUM(D13:D22)</f>
        <v>48376</v>
      </c>
      <c r="E110" s="75">
        <f>SUM(E13:E22)</f>
        <v>0</v>
      </c>
      <c r="F110" s="75">
        <f>SUM(F13:F22)</f>
        <v>473673</v>
      </c>
      <c r="G110" s="75">
        <f>SUM(G13:G22)</f>
        <v>149416</v>
      </c>
      <c r="H110" s="75">
        <f>SUM(H13:H22)</f>
        <v>163811</v>
      </c>
      <c r="I110" s="75">
        <f>SUM(I13:I22)</f>
        <v>57723</v>
      </c>
      <c r="J110" s="75">
        <f>SUM(J13:J22)</f>
        <v>79381</v>
      </c>
      <c r="K110" s="75">
        <f>SUM(K13:K22)</f>
        <v>1054904</v>
      </c>
      <c r="L110" s="75"/>
      <c r="M110" s="75">
        <f>SUM(M13:M22)</f>
        <v>0</v>
      </c>
      <c r="N110" s="75">
        <f>SUM(N13:N22)</f>
        <v>582738</v>
      </c>
      <c r="O110" s="75">
        <f>SUM(O13:O22)</f>
        <v>0</v>
      </c>
      <c r="P110" s="75">
        <f>SUM(P13:P22)</f>
        <v>33742</v>
      </c>
      <c r="Q110" s="75">
        <f>SUM(Q13:Q22)</f>
        <v>0</v>
      </c>
      <c r="R110" s="75">
        <f>SUM(R13:R22)</f>
        <v>1811</v>
      </c>
      <c r="S110" s="75">
        <f>SUM(S13:S22)</f>
        <v>0</v>
      </c>
      <c r="T110" s="75">
        <f>SUM(T13:T22)</f>
        <v>0</v>
      </c>
      <c r="U110" s="75">
        <f>SUM(U13:U22)</f>
        <v>79497</v>
      </c>
      <c r="V110" s="75">
        <f>SUM(V13:V22)</f>
        <v>198788</v>
      </c>
      <c r="W110" s="75">
        <f>SUM(W13:W22)</f>
        <v>0</v>
      </c>
      <c r="X110" s="75">
        <f>SUM(X13:X22)</f>
        <v>170065</v>
      </c>
      <c r="Y110" s="75">
        <f>SUM(Y13:Y22)</f>
        <v>0</v>
      </c>
      <c r="Z110" s="75">
        <f>SUM(Z13:Z22)</f>
        <v>70156</v>
      </c>
      <c r="AA110" s="75">
        <f>SUM(AA13:AA22)</f>
        <v>0</v>
      </c>
      <c r="AB110" s="75">
        <f>SUM(AB13:AB22)</f>
        <v>0</v>
      </c>
      <c r="AC110" s="75">
        <f>SUM(AC13:AC22)</f>
        <v>97792</v>
      </c>
      <c r="AD110" s="75">
        <f>SUM(AD13:AD22)</f>
        <v>0</v>
      </c>
      <c r="AE110" s="75">
        <f>SUM(AE13:AE22)</f>
        <v>7444</v>
      </c>
      <c r="AF110" s="75">
        <f>SUM(AF13:AF22)</f>
        <v>0</v>
      </c>
      <c r="AG110" s="75">
        <f>SUM(AG13:AG22)</f>
        <v>56250</v>
      </c>
      <c r="AH110" s="75">
        <f>SUM(AH13:AH22)</f>
        <v>0</v>
      </c>
      <c r="AI110" s="75">
        <f>SUM(AI13:AI22)</f>
        <v>0</v>
      </c>
      <c r="AJ110" s="75">
        <f>SUM(AJ13:AJ22)</f>
        <v>0</v>
      </c>
      <c r="AK110" s="75">
        <f>SUM(AK13:AK22)</f>
        <v>0</v>
      </c>
      <c r="AL110" s="75">
        <f>SUM(AL13:AL22)</f>
        <v>10368</v>
      </c>
      <c r="AM110" s="75">
        <f>SUM(AM13:AM22)</f>
        <v>0</v>
      </c>
      <c r="AN110" s="75">
        <f>SUM(AN13:AN22)</f>
        <v>196706</v>
      </c>
      <c r="AO110" s="75">
        <f>SUM(AO13:AO22)</f>
        <v>0</v>
      </c>
      <c r="AP110" s="75">
        <f>SUM(AP13:AP22)</f>
        <v>273391</v>
      </c>
      <c r="AQ110" s="75">
        <f>SUM(AQ13:AQ22)</f>
        <v>0</v>
      </c>
      <c r="AR110" s="75">
        <f>SUM(AR13:AR22)</f>
        <v>318548</v>
      </c>
      <c r="AS110" s="75">
        <f>SUM(AS13:AS22)</f>
        <v>2097296</v>
      </c>
      <c r="AT110" s="75"/>
      <c r="AU110" s="75">
        <f>SUM(AU13:AU22)</f>
        <v>158458</v>
      </c>
      <c r="AV110" s="75"/>
      <c r="AW110" s="75">
        <f>SUM(AW13:AW22)</f>
        <v>3310658</v>
      </c>
      <c r="AX110" s="118"/>
      <c r="AY110" s="83"/>
    </row>
    <row r="111" spans="1:51" x14ac:dyDescent="0.25">
      <c r="B111" s="35" t="s">
        <v>181</v>
      </c>
      <c r="C111" s="75">
        <f>SUM(C25:C39)</f>
        <v>292800</v>
      </c>
      <c r="D111" s="75">
        <f>SUM(D25:D39)</f>
        <v>59250</v>
      </c>
      <c r="E111" s="75">
        <f>SUM(E25:E39)</f>
        <v>324926</v>
      </c>
      <c r="F111" s="75">
        <f>SUM(F25:F39)</f>
        <v>546556</v>
      </c>
      <c r="G111" s="75">
        <f>SUM(G25:G39)</f>
        <v>56500</v>
      </c>
      <c r="H111" s="75">
        <f>SUM(H25:H39)</f>
        <v>596986</v>
      </c>
      <c r="I111" s="75">
        <f>SUM(I25:I39)</f>
        <v>155500</v>
      </c>
      <c r="J111" s="75">
        <f>SUM(J25:J39)</f>
        <v>403500</v>
      </c>
      <c r="K111" s="75">
        <f>SUM(K25:K39)</f>
        <v>2436018</v>
      </c>
      <c r="L111" s="75"/>
      <c r="M111" s="75">
        <f>SUM(M25:M39)</f>
        <v>10906</v>
      </c>
      <c r="N111" s="75">
        <f>SUM(N25:N39)</f>
        <v>6173</v>
      </c>
      <c r="O111" s="75">
        <f>SUM(O25:O39)</f>
        <v>0</v>
      </c>
      <c r="P111" s="75">
        <f>SUM(P25:P39)</f>
        <v>514</v>
      </c>
      <c r="Q111" s="75">
        <f>SUM(Q25:Q39)</f>
        <v>0</v>
      </c>
      <c r="R111" s="75">
        <f>SUM(R25:R39)</f>
        <v>38</v>
      </c>
      <c r="S111" s="75">
        <f>SUM(S25:S39)</f>
        <v>0</v>
      </c>
      <c r="T111" s="75">
        <f>SUM(T25:T39)</f>
        <v>761996</v>
      </c>
      <c r="U111" s="75">
        <f>SUM(U25:U39)</f>
        <v>424596</v>
      </c>
      <c r="V111" s="75">
        <f>SUM(V25:V39)</f>
        <v>17410</v>
      </c>
      <c r="W111" s="75">
        <f>SUM(W25:W39)</f>
        <v>172</v>
      </c>
      <c r="X111" s="75">
        <f>SUM(X25:X39)</f>
        <v>2219</v>
      </c>
      <c r="Y111" s="75">
        <f>SUM(Y25:Y39)</f>
        <v>0</v>
      </c>
      <c r="Z111" s="75">
        <f>SUM(Z25:Z39)</f>
        <v>990</v>
      </c>
      <c r="AA111" s="75">
        <f>SUM(AA25:AA39)</f>
        <v>0</v>
      </c>
      <c r="AB111" s="75">
        <f>SUM(AB25:AB39)</f>
        <v>49089</v>
      </c>
      <c r="AC111" s="75">
        <f>SUM(AC25:AC39)</f>
        <v>1175</v>
      </c>
      <c r="AD111" s="75">
        <f>SUM(AD25:AD39)</f>
        <v>4474</v>
      </c>
      <c r="AE111" s="75">
        <f>SUM(AE25:AE39)</f>
        <v>99</v>
      </c>
      <c r="AF111" s="75">
        <f>SUM(AF25:AF39)</f>
        <v>23987</v>
      </c>
      <c r="AG111" s="75">
        <f>SUM(AG25:AG39)</f>
        <v>632</v>
      </c>
      <c r="AH111" s="75">
        <f>SUM(AH25:AH39)</f>
        <v>0</v>
      </c>
      <c r="AI111" s="75">
        <f>SUM(AI25:AI39)</f>
        <v>0</v>
      </c>
      <c r="AJ111" s="75">
        <f>SUM(AJ25:AJ39)</f>
        <v>0</v>
      </c>
      <c r="AK111" s="75">
        <f>SUM(AK25:AK39)</f>
        <v>923</v>
      </c>
      <c r="AL111" s="75">
        <f>SUM(AL25:AL39)</f>
        <v>374</v>
      </c>
      <c r="AM111" s="75">
        <f>SUM(AM25:AM39)</f>
        <v>177208</v>
      </c>
      <c r="AN111" s="75">
        <f>SUM(AN25:AN39)</f>
        <v>0</v>
      </c>
      <c r="AO111" s="75">
        <f>SUM(AO25:AO39)</f>
        <v>0</v>
      </c>
      <c r="AP111" s="75">
        <f>SUM(AP25:AP39)</f>
        <v>4260</v>
      </c>
      <c r="AQ111" s="75">
        <f>SUM(AQ25:AQ39)</f>
        <v>293820</v>
      </c>
      <c r="AR111" s="75">
        <f>SUM(AR25:AR39)</f>
        <v>9900</v>
      </c>
      <c r="AS111" s="75">
        <f>SUM(AS25:AS39)</f>
        <v>1790955</v>
      </c>
      <c r="AT111" s="75"/>
      <c r="AU111" s="75">
        <f>SUM(AU25:AU39)</f>
        <v>834659</v>
      </c>
      <c r="AV111" s="75"/>
      <c r="AW111" s="75">
        <f>K111+AS111+AU111</f>
        <v>5061632</v>
      </c>
      <c r="AX111" s="118"/>
    </row>
    <row r="112" spans="1:51" x14ac:dyDescent="0.25">
      <c r="B112" s="35" t="s">
        <v>182</v>
      </c>
      <c r="C112" s="75">
        <f>SUM(C40:C50)</f>
        <v>200</v>
      </c>
      <c r="D112" s="75">
        <f>SUM(D40:D50)</f>
        <v>15800</v>
      </c>
      <c r="E112" s="75">
        <f>SUM(E40:E50)</f>
        <v>1000</v>
      </c>
      <c r="F112" s="75">
        <f>SUM(F40:F50)</f>
        <v>0</v>
      </c>
      <c r="G112" s="75">
        <f>SUM(G40:G50)</f>
        <v>100</v>
      </c>
      <c r="H112" s="75">
        <f>SUM(H40:H50)</f>
        <v>29750</v>
      </c>
      <c r="I112" s="75">
        <f>SUM(I40:I50)</f>
        <v>1000</v>
      </c>
      <c r="J112" s="75">
        <f>SUM(J40:J50)</f>
        <v>40000</v>
      </c>
      <c r="K112" s="75">
        <f>SUM(K40:K50)</f>
        <v>87850</v>
      </c>
      <c r="L112" s="75"/>
      <c r="M112" s="75">
        <f>SUM(M40:M50)</f>
        <v>355660</v>
      </c>
      <c r="N112" s="75">
        <f>SUM(N40:N50)</f>
        <v>0</v>
      </c>
      <c r="O112" s="75">
        <f>SUM(O40:O50)</f>
        <v>16252</v>
      </c>
      <c r="P112" s="75">
        <f>SUM(P40:P50)</f>
        <v>0</v>
      </c>
      <c r="Q112" s="75">
        <f>SUM(Q40:Q50)</f>
        <v>975</v>
      </c>
      <c r="R112" s="75">
        <f>SUM(R40:R50)</f>
        <v>0</v>
      </c>
      <c r="S112" s="75">
        <f>SUM(S40:S50)</f>
        <v>0</v>
      </c>
      <c r="T112" s="75">
        <f>SUM(T40:T50)</f>
        <v>15400</v>
      </c>
      <c r="U112" s="75">
        <f>SUM(U40:U50)</f>
        <v>1936</v>
      </c>
      <c r="V112" s="75">
        <f>SUM(V40:V50)</f>
        <v>0</v>
      </c>
      <c r="W112" s="75">
        <f>SUM(W40:W50)</f>
        <v>108684</v>
      </c>
      <c r="X112" s="75">
        <f>SUM(X40:X50)</f>
        <v>0</v>
      </c>
      <c r="Y112" s="75">
        <f>SUM(Y40:Y50)</f>
        <v>35421</v>
      </c>
      <c r="Z112" s="75">
        <f>SUM(Z40:Z50)</f>
        <v>0</v>
      </c>
      <c r="AA112" s="75">
        <f>SUM(AA40:AA50)</f>
        <v>0</v>
      </c>
      <c r="AB112" s="75">
        <f>SUM(AB40:AB50)</f>
        <v>40784</v>
      </c>
      <c r="AC112" s="75">
        <f>SUM(AC40:AC50)</f>
        <v>0</v>
      </c>
      <c r="AD112" s="75">
        <f>SUM(AD40:AD50)</f>
        <v>3426</v>
      </c>
      <c r="AE112" s="75">
        <f>SUM(AE40:AE50)</f>
        <v>0</v>
      </c>
      <c r="AF112" s="75">
        <f>SUM(AF40:AF50)</f>
        <v>22396</v>
      </c>
      <c r="AG112" s="75">
        <f>SUM(AG40:AG50)</f>
        <v>0</v>
      </c>
      <c r="AH112" s="75">
        <f>SUM(AH40:AH50)</f>
        <v>0</v>
      </c>
      <c r="AI112" s="75">
        <f>SUM(AI40:AI50)</f>
        <v>0</v>
      </c>
      <c r="AJ112" s="75">
        <f>SUM(AJ40:AJ50)</f>
        <v>0</v>
      </c>
      <c r="AK112" s="75">
        <f>SUM(AK40:AK50)</f>
        <v>19934</v>
      </c>
      <c r="AL112" s="75">
        <f>SUM(AL40:AL50)</f>
        <v>0</v>
      </c>
      <c r="AM112" s="75">
        <f>SUM(AM40:AM50)</f>
        <v>7600</v>
      </c>
      <c r="AN112" s="75">
        <f>SUM(AN40:AN50)</f>
        <v>0</v>
      </c>
      <c r="AO112" s="75">
        <f>SUM(AO40:AO50)</f>
        <v>18000</v>
      </c>
      <c r="AP112" s="75">
        <f>SUM(AP40:AP50)</f>
        <v>0</v>
      </c>
      <c r="AQ112" s="75">
        <f>SUM(AQ40:AQ50)</f>
        <v>814612</v>
      </c>
      <c r="AR112" s="75">
        <f>SUM(AR40:AR50)</f>
        <v>0</v>
      </c>
      <c r="AS112" s="75">
        <f>SUM(AS40:AS50)</f>
        <v>1461080</v>
      </c>
      <c r="AT112" s="75"/>
      <c r="AU112" s="75">
        <f>SUM(AU40:AU50)</f>
        <v>1103100</v>
      </c>
      <c r="AV112" s="75"/>
      <c r="AW112" s="75">
        <f>K112+AS112+AU112</f>
        <v>2652030</v>
      </c>
      <c r="AX112" s="118"/>
    </row>
    <row r="113" spans="2:50" x14ac:dyDescent="0.25">
      <c r="B113" s="35" t="s">
        <v>130</v>
      </c>
      <c r="C113" s="75">
        <f>SUM(C51:C54)</f>
        <v>0</v>
      </c>
      <c r="D113" s="75">
        <f>SUM(D51:D54)</f>
        <v>42710</v>
      </c>
      <c r="E113" s="75">
        <f>SUM(E51:E54)</f>
        <v>0</v>
      </c>
      <c r="F113" s="75">
        <f>SUM(F51:F54)</f>
        <v>0</v>
      </c>
      <c r="G113" s="75">
        <f>SUM(G51:G54)</f>
        <v>0</v>
      </c>
      <c r="H113" s="75">
        <f>SUM(H51:H54)</f>
        <v>0</v>
      </c>
      <c r="I113" s="75">
        <f>SUM(I51:I54)</f>
        <v>0</v>
      </c>
      <c r="J113" s="75">
        <f>SUM(J51:J54)</f>
        <v>0</v>
      </c>
      <c r="K113" s="75">
        <f>SUM(K51:K54)</f>
        <v>42710</v>
      </c>
      <c r="L113" s="75"/>
      <c r="M113" s="75">
        <f>SUM(M51:M54)</f>
        <v>0</v>
      </c>
      <c r="N113" s="75">
        <f>SUM(N51:N54)</f>
        <v>0</v>
      </c>
      <c r="O113" s="75">
        <f>SUM(O51:O54)</f>
        <v>8115</v>
      </c>
      <c r="P113" s="75">
        <f>SUM(P51:P54)</f>
        <v>0</v>
      </c>
      <c r="Q113" s="75">
        <f>SUM(Q51:Q54)</f>
        <v>544</v>
      </c>
      <c r="R113" s="75">
        <f>SUM(R51:R54)</f>
        <v>0</v>
      </c>
      <c r="S113" s="75">
        <f>SUM(S51:S54)</f>
        <v>0</v>
      </c>
      <c r="T113" s="75">
        <f>SUM(T51:T54)</f>
        <v>111900</v>
      </c>
      <c r="U113" s="75">
        <f>SUM(U51:U54)</f>
        <v>0</v>
      </c>
      <c r="V113" s="75">
        <f>SUM(V51:V54)</f>
        <v>0</v>
      </c>
      <c r="W113" s="75">
        <f>SUM(W51:W54)</f>
        <v>0</v>
      </c>
      <c r="X113" s="75">
        <f>SUM(X51:X54)</f>
        <v>0</v>
      </c>
      <c r="Y113" s="75">
        <f>SUM(Y51:Y54)</f>
        <v>0</v>
      </c>
      <c r="Z113" s="75">
        <f>SUM(Z51:Z54)</f>
        <v>0</v>
      </c>
      <c r="AA113" s="75">
        <f>SUM(AA51:AA54)</f>
        <v>0</v>
      </c>
      <c r="AB113" s="75">
        <f>SUM(AB51:AB54)</f>
        <v>18602</v>
      </c>
      <c r="AC113" s="75">
        <f>SUM(AC51:AC54)</f>
        <v>0</v>
      </c>
      <c r="AD113" s="75">
        <f>SUM(AD51:AD54)</f>
        <v>1572</v>
      </c>
      <c r="AE113" s="75">
        <f>SUM(AE51:AE54)</f>
        <v>0</v>
      </c>
      <c r="AF113" s="75">
        <f>SUM(AF51:AF54)</f>
        <v>10170</v>
      </c>
      <c r="AG113" s="75">
        <f>SUM(AG51:AG54)</f>
        <v>0</v>
      </c>
      <c r="AH113" s="75">
        <f>SUM(AH51:AH54)</f>
        <v>0</v>
      </c>
      <c r="AI113" s="75">
        <f>SUM(AI51:AI54)</f>
        <v>0</v>
      </c>
      <c r="AJ113" s="75">
        <f>SUM(AJ51:AJ54)</f>
        <v>0</v>
      </c>
      <c r="AK113" s="75">
        <f>SUM(AK51:AK54)</f>
        <v>0</v>
      </c>
      <c r="AL113" s="75">
        <f>SUM(AL51:AL54)</f>
        <v>0</v>
      </c>
      <c r="AM113" s="75">
        <f>SUM(AM51:AM54)</f>
        <v>48280</v>
      </c>
      <c r="AN113" s="75">
        <f>SUM(AN51:AN54)</f>
        <v>0</v>
      </c>
      <c r="AO113" s="75">
        <f>SUM(AO51:AO54)</f>
        <v>0</v>
      </c>
      <c r="AP113" s="75">
        <f>SUM(AP51:AP54)</f>
        <v>0</v>
      </c>
      <c r="AQ113" s="75">
        <f>SUM(AQ51:AQ54)</f>
        <v>0</v>
      </c>
      <c r="AR113" s="75">
        <f>SUM(AR51:AR54)</f>
        <v>0</v>
      </c>
      <c r="AS113" s="75">
        <f>SUM(AS51:AS54)</f>
        <v>199183</v>
      </c>
      <c r="AT113" s="75"/>
      <c r="AU113" s="75">
        <f>SUM(AU51:AU54)</f>
        <v>284388</v>
      </c>
      <c r="AV113" s="75"/>
      <c r="AW113" s="75">
        <f>K113+AS113+AU113</f>
        <v>526281</v>
      </c>
      <c r="AX113" s="118"/>
    </row>
    <row r="114" spans="2:50" x14ac:dyDescent="0.25">
      <c r="B114" s="35" t="s">
        <v>131</v>
      </c>
      <c r="C114" s="75">
        <f>SUM(C55:C62)</f>
        <v>0</v>
      </c>
      <c r="D114" s="75">
        <f>SUM(D55:D62)</f>
        <v>0</v>
      </c>
      <c r="E114" s="75">
        <f>SUM(E55:E62)</f>
        <v>0</v>
      </c>
      <c r="F114" s="75">
        <f>SUM(F55:F62)</f>
        <v>15515</v>
      </c>
      <c r="G114" s="75">
        <f>SUM(G55:G62)</f>
        <v>0</v>
      </c>
      <c r="H114" s="75">
        <f>SUM(H55:H62)</f>
        <v>0</v>
      </c>
      <c r="I114" s="75">
        <f>SUM(I55:I62)</f>
        <v>0</v>
      </c>
      <c r="J114" s="75">
        <f>SUM(J55:J62)</f>
        <v>0</v>
      </c>
      <c r="K114" s="75">
        <f>SUM(K55:K62)</f>
        <v>15515</v>
      </c>
      <c r="L114" s="75"/>
      <c r="M114" s="75">
        <f>SUM(M55:M62)</f>
        <v>132866</v>
      </c>
      <c r="N114" s="75">
        <f>SUM(N55:N62)</f>
        <v>22685</v>
      </c>
      <c r="O114" s="75">
        <f>SUM(O55:O62)</f>
        <v>10623</v>
      </c>
      <c r="P114" s="75">
        <f>SUM(P55:P62)</f>
        <v>1323</v>
      </c>
      <c r="Q114" s="75">
        <f>SUM(Q55:Q62)</f>
        <v>637</v>
      </c>
      <c r="R114" s="75">
        <f>SUM(R55:R62)</f>
        <v>66</v>
      </c>
      <c r="S114" s="75">
        <f>SUM(S55:S62)</f>
        <v>0</v>
      </c>
      <c r="T114" s="75">
        <f>SUM(T55:T62)</f>
        <v>0</v>
      </c>
      <c r="U114" s="75">
        <f>SUM(U55:U62)</f>
        <v>163</v>
      </c>
      <c r="V114" s="75">
        <f>SUM(V55:V62)</f>
        <v>0</v>
      </c>
      <c r="W114" s="75">
        <f>SUM(W55:W62)</f>
        <v>40601</v>
      </c>
      <c r="X114" s="75">
        <f>SUM(X55:X62)</f>
        <v>6390</v>
      </c>
      <c r="Y114" s="75">
        <f>SUM(Y55:Y62)</f>
        <v>23157</v>
      </c>
      <c r="Z114" s="75">
        <f>SUM(Z55:Z62)</f>
        <v>2436</v>
      </c>
      <c r="AA114" s="75">
        <f>SUM(AA55:AA62)</f>
        <v>0</v>
      </c>
      <c r="AB114" s="75">
        <f>SUM(AB55:AB62)</f>
        <v>24256</v>
      </c>
      <c r="AC114" s="75">
        <f>SUM(AC55:AC62)</f>
        <v>3823</v>
      </c>
      <c r="AD114" s="75">
        <f>SUM(AD55:AD62)</f>
        <v>2037</v>
      </c>
      <c r="AE114" s="75">
        <f>SUM(AE55:AE62)</f>
        <v>292</v>
      </c>
      <c r="AF114" s="75">
        <f>SUM(AF55:AF62)</f>
        <v>13329</v>
      </c>
      <c r="AG114" s="75">
        <f>SUM(AG55:AG62)</f>
        <v>2197</v>
      </c>
      <c r="AH114" s="75">
        <f>SUM(AH55:AH62)</f>
        <v>0</v>
      </c>
      <c r="AI114" s="75">
        <f>SUM(AI55:AI62)</f>
        <v>0</v>
      </c>
      <c r="AJ114" s="75">
        <f>SUM(AJ55:AJ62)</f>
        <v>0</v>
      </c>
      <c r="AK114" s="75">
        <f>SUM(AK55:AK62)</f>
        <v>7446</v>
      </c>
      <c r="AL114" s="75">
        <f>SUM(AL55:AL62)</f>
        <v>406</v>
      </c>
      <c r="AM114" s="75">
        <f>SUM(AM55:AM62)</f>
        <v>0</v>
      </c>
      <c r="AN114" s="75">
        <f>SUM(AN55:AN62)</f>
        <v>322</v>
      </c>
      <c r="AO114" s="75">
        <f>SUM(AO55:AO62)</f>
        <v>2352</v>
      </c>
      <c r="AP114" s="75">
        <f>SUM(AP55:AP62)</f>
        <v>13902</v>
      </c>
      <c r="AQ114" s="75">
        <f>SUM(AQ55:AQ62)</f>
        <v>21936</v>
      </c>
      <c r="AR114" s="75">
        <f>SUM(AR55:AR62)</f>
        <v>11837</v>
      </c>
      <c r="AS114" s="75">
        <f>SUM(AS55:AS62)</f>
        <v>345082</v>
      </c>
      <c r="AT114" s="75"/>
      <c r="AU114" s="75">
        <f>SUM(AU55:AU62)</f>
        <v>1341057</v>
      </c>
      <c r="AV114" s="75"/>
      <c r="AW114" s="75">
        <f>K114+AS114+AU114</f>
        <v>1701654</v>
      </c>
      <c r="AX114" s="118"/>
    </row>
    <row r="115" spans="2:50" x14ac:dyDescent="0.25">
      <c r="B115" s="35" t="s">
        <v>90</v>
      </c>
      <c r="C115" s="75">
        <f>SUM(C63)</f>
        <v>0</v>
      </c>
      <c r="D115" s="75">
        <f>SUM(D63)</f>
        <v>0</v>
      </c>
      <c r="E115" s="75">
        <f>SUM(E63)</f>
        <v>0</v>
      </c>
      <c r="F115" s="75">
        <f>SUM(F63)</f>
        <v>0</v>
      </c>
      <c r="G115" s="75">
        <f>SUM(G63)</f>
        <v>0</v>
      </c>
      <c r="H115" s="75">
        <f>SUM(H63)</f>
        <v>0</v>
      </c>
      <c r="I115" s="75">
        <f>SUM(I63)</f>
        <v>0</v>
      </c>
      <c r="J115" s="75">
        <f>SUM(J63)</f>
        <v>0</v>
      </c>
      <c r="K115" s="75">
        <f>SUM(K63)</f>
        <v>0</v>
      </c>
      <c r="L115" s="75"/>
      <c r="M115" s="75">
        <f>SUM(M63)</f>
        <v>72000</v>
      </c>
      <c r="N115" s="75">
        <f>SUM(N63)</f>
        <v>0</v>
      </c>
      <c r="O115" s="75">
        <f>SUM(O63)</f>
        <v>16061</v>
      </c>
      <c r="P115" s="75">
        <f>SUM(P63)</f>
        <v>0</v>
      </c>
      <c r="Q115" s="75">
        <f>SUM(Q63)</f>
        <v>52400</v>
      </c>
      <c r="R115" s="75">
        <f>SUM(R63)</f>
        <v>0</v>
      </c>
      <c r="S115" s="75">
        <f>SUM(S63)</f>
        <v>340266</v>
      </c>
      <c r="T115" s="75">
        <f>SUM(T63)</f>
        <v>0</v>
      </c>
      <c r="U115" s="75">
        <f>SUM(U63)</f>
        <v>0</v>
      </c>
      <c r="V115" s="75">
        <f>SUM(V63)</f>
        <v>0</v>
      </c>
      <c r="W115" s="75">
        <f>SUM(W63)</f>
        <v>0</v>
      </c>
      <c r="X115" s="75">
        <f>SUM(X63)</f>
        <v>0</v>
      </c>
      <c r="Y115" s="75">
        <f>SUM(Y63)</f>
        <v>0</v>
      </c>
      <c r="Z115" s="75">
        <f>SUM(Z63)</f>
        <v>0</v>
      </c>
      <c r="AA115" s="75">
        <f>SUM(AA63)</f>
        <v>0</v>
      </c>
      <c r="AB115" s="75">
        <f>SUM(AB63)</f>
        <v>0</v>
      </c>
      <c r="AC115" s="75">
        <f>SUM(AC63)</f>
        <v>0</v>
      </c>
      <c r="AD115" s="75">
        <f>SUM(AD63)</f>
        <v>0</v>
      </c>
      <c r="AE115" s="75">
        <f>SUM(AE63)</f>
        <v>0</v>
      </c>
      <c r="AF115" s="75">
        <f>SUM(AF63)</f>
        <v>0</v>
      </c>
      <c r="AG115" s="75">
        <f>SUM(AG63)</f>
        <v>0</v>
      </c>
      <c r="AH115" s="75">
        <f>SUM(AH63)</f>
        <v>3173172</v>
      </c>
      <c r="AI115" s="75">
        <f>SUM(AI63)</f>
        <v>227616</v>
      </c>
      <c r="AJ115" s="75">
        <f>SUM(AJ63)</f>
        <v>1934580</v>
      </c>
      <c r="AK115" s="75">
        <f>SUM(AK63)</f>
        <v>0</v>
      </c>
      <c r="AL115" s="75">
        <f>SUM(AL63)</f>
        <v>0</v>
      </c>
      <c r="AM115" s="75">
        <f>SUM(AM63)</f>
        <v>0</v>
      </c>
      <c r="AN115" s="75">
        <f>SUM(AN63)</f>
        <v>0</v>
      </c>
      <c r="AO115" s="75">
        <f>SUM(AO63)</f>
        <v>0</v>
      </c>
      <c r="AP115" s="75">
        <f>SUM(AP63)</f>
        <v>0</v>
      </c>
      <c r="AQ115" s="75">
        <f>SUM(AQ63)</f>
        <v>0</v>
      </c>
      <c r="AR115" s="75">
        <f>SUM(AR63)</f>
        <v>0</v>
      </c>
      <c r="AS115" s="75">
        <f>SUM(AS63)</f>
        <v>5816095</v>
      </c>
      <c r="AT115" s="75"/>
      <c r="AU115" s="75">
        <f>SUM(AU63)</f>
        <v>10864067</v>
      </c>
      <c r="AV115" s="75"/>
      <c r="AW115" s="75">
        <f>K115+AS115+AU115</f>
        <v>16680162</v>
      </c>
      <c r="AX115" s="118"/>
    </row>
    <row r="116" spans="2:50" x14ac:dyDescent="0.25">
      <c r="B116" s="35" t="s">
        <v>132</v>
      </c>
      <c r="C116" s="75">
        <f>SUM(C64:C71)</f>
        <v>56590</v>
      </c>
      <c r="D116" s="75">
        <f>SUM(D64:D71)</f>
        <v>4340</v>
      </c>
      <c r="E116" s="75">
        <f>SUM(E64:E71)</f>
        <v>26800</v>
      </c>
      <c r="F116" s="75">
        <f>SUM(F64:F71)</f>
        <v>30660</v>
      </c>
      <c r="G116" s="75">
        <f>SUM(G64:G71)</f>
        <v>15440</v>
      </c>
      <c r="H116" s="75">
        <f>SUM(H64:H71)</f>
        <v>16115</v>
      </c>
      <c r="I116" s="75">
        <f>SUM(I64:I71)</f>
        <v>42350</v>
      </c>
      <c r="J116" s="75">
        <f>SUM(J64:J71)</f>
        <v>13010</v>
      </c>
      <c r="K116" s="75">
        <f>SUM(K64:K71)</f>
        <v>205305</v>
      </c>
      <c r="L116" s="75"/>
      <c r="M116" s="75">
        <f>SUM(M64:M71)</f>
        <v>0</v>
      </c>
      <c r="N116" s="75">
        <f>SUM(N64:N71)</f>
        <v>0</v>
      </c>
      <c r="O116" s="75">
        <f>SUM(O64:O71)</f>
        <v>2400</v>
      </c>
      <c r="P116" s="75">
        <f>SUM(P64:P71)</f>
        <v>0</v>
      </c>
      <c r="Q116" s="75">
        <f>SUM(Q64:Q71)</f>
        <v>600</v>
      </c>
      <c r="R116" s="75">
        <f>SUM(R64:R71)</f>
        <v>0</v>
      </c>
      <c r="S116" s="75">
        <f>SUM(S64:S71)</f>
        <v>0</v>
      </c>
      <c r="T116" s="75">
        <f>SUM(T64:T71)</f>
        <v>0</v>
      </c>
      <c r="U116" s="75">
        <f>SUM(U64:U71)</f>
        <v>28260</v>
      </c>
      <c r="V116" s="75">
        <f>SUM(V64:V71)</f>
        <v>14025</v>
      </c>
      <c r="W116" s="75">
        <f>SUM(W64:W71)</f>
        <v>0</v>
      </c>
      <c r="X116" s="75">
        <f>SUM(X64:X71)</f>
        <v>0</v>
      </c>
      <c r="Y116" s="75">
        <f>SUM(Y64:Y71)</f>
        <v>0</v>
      </c>
      <c r="Z116" s="75">
        <f>SUM(Z64:Z71)</f>
        <v>0</v>
      </c>
      <c r="AA116" s="75">
        <f>SUM(AA64:AA71)</f>
        <v>0</v>
      </c>
      <c r="AB116" s="75">
        <f>SUM(AB64:AB71)</f>
        <v>0</v>
      </c>
      <c r="AC116" s="75">
        <f>SUM(AC64:AC71)</f>
        <v>0</v>
      </c>
      <c r="AD116" s="75">
        <f>SUM(AD64:AD71)</f>
        <v>0</v>
      </c>
      <c r="AE116" s="75">
        <f>SUM(AE64:AE71)</f>
        <v>0</v>
      </c>
      <c r="AF116" s="75">
        <f>SUM(AF64:AF71)</f>
        <v>0</v>
      </c>
      <c r="AG116" s="75">
        <f>SUM(AG64:AG71)</f>
        <v>0</v>
      </c>
      <c r="AH116" s="75">
        <f>SUM(AH64:AH71)</f>
        <v>0</v>
      </c>
      <c r="AI116" s="75">
        <f>SUM(AI64:AI71)</f>
        <v>0</v>
      </c>
      <c r="AJ116" s="75">
        <f>SUM(AJ64:AJ71)</f>
        <v>0</v>
      </c>
      <c r="AK116" s="75">
        <f>SUM(AK64:AK71)</f>
        <v>0</v>
      </c>
      <c r="AL116" s="75">
        <f>SUM(AL64:AL71)</f>
        <v>0</v>
      </c>
      <c r="AM116" s="75">
        <f>SUM(AM64:AM71)</f>
        <v>0</v>
      </c>
      <c r="AN116" s="75">
        <f>SUM(AN64:AN71)</f>
        <v>6400</v>
      </c>
      <c r="AO116" s="75">
        <f>SUM(AO64:AO71)</f>
        <v>0</v>
      </c>
      <c r="AP116" s="75">
        <f>SUM(AP64:AP71)</f>
        <v>12000</v>
      </c>
      <c r="AQ116" s="75">
        <f>SUM(AQ64:AQ71)</f>
        <v>0</v>
      </c>
      <c r="AR116" s="75">
        <f>SUM(AR64:AR71)</f>
        <v>12000</v>
      </c>
      <c r="AS116" s="75">
        <f>SUM(AS64:AS71)</f>
        <v>75685</v>
      </c>
      <c r="AT116" s="75"/>
      <c r="AU116" s="75">
        <f>SUM(AU64:AU71)</f>
        <v>13055</v>
      </c>
      <c r="AV116" s="75"/>
      <c r="AW116" s="75">
        <f>K116+AS116+AU116</f>
        <v>294045</v>
      </c>
      <c r="AX116" s="118"/>
    </row>
    <row r="117" spans="2:50" x14ac:dyDescent="0.25">
      <c r="B117" s="35" t="s">
        <v>133</v>
      </c>
      <c r="C117" s="75">
        <f>SUM(C72)</f>
        <v>0</v>
      </c>
      <c r="D117" s="75">
        <f>SUM(D72)</f>
        <v>126200</v>
      </c>
      <c r="E117" s="75">
        <f>SUM(E72)</f>
        <v>0</v>
      </c>
      <c r="F117" s="75">
        <f>SUM(F72)</f>
        <v>0</v>
      </c>
      <c r="G117" s="75">
        <f>SUM(G72)</f>
        <v>0</v>
      </c>
      <c r="H117" s="75">
        <f>SUM(H72)</f>
        <v>4320</v>
      </c>
      <c r="I117" s="75">
        <f>SUM(I72)</f>
        <v>0</v>
      </c>
      <c r="J117" s="75">
        <f>SUM(J72)</f>
        <v>0</v>
      </c>
      <c r="K117" s="75">
        <f>SUM(K72)</f>
        <v>130520</v>
      </c>
      <c r="L117" s="75"/>
      <c r="M117" s="75">
        <f>SUM(M72)</f>
        <v>0</v>
      </c>
      <c r="N117" s="75">
        <f>SUM(N72)</f>
        <v>0</v>
      </c>
      <c r="O117" s="75">
        <f>SUM(O72)</f>
        <v>0</v>
      </c>
      <c r="P117" s="75">
        <f>SUM(P72)</f>
        <v>0</v>
      </c>
      <c r="Q117" s="75">
        <f>SUM(Q72)</f>
        <v>0</v>
      </c>
      <c r="R117" s="75">
        <f>SUM(R72)</f>
        <v>0</v>
      </c>
      <c r="S117" s="75">
        <f>SUM(S72)</f>
        <v>0</v>
      </c>
      <c r="T117" s="75">
        <f>SUM(T72)</f>
        <v>4632</v>
      </c>
      <c r="U117" s="75">
        <f>SUM(U72)</f>
        <v>0</v>
      </c>
      <c r="V117" s="75">
        <f>SUM(V72)</f>
        <v>0</v>
      </c>
      <c r="W117" s="75">
        <f>SUM(W72)</f>
        <v>0</v>
      </c>
      <c r="X117" s="75">
        <f>SUM(X72)</f>
        <v>0</v>
      </c>
      <c r="Y117" s="75">
        <f>SUM(Y72)</f>
        <v>0</v>
      </c>
      <c r="Z117" s="75">
        <f>SUM(Z72)</f>
        <v>0</v>
      </c>
      <c r="AA117" s="75">
        <f>SUM(AA72)</f>
        <v>0</v>
      </c>
      <c r="AB117" s="75">
        <f>SUM(AB72)</f>
        <v>0</v>
      </c>
      <c r="AC117" s="75">
        <f>SUM(AC72)</f>
        <v>0</v>
      </c>
      <c r="AD117" s="75">
        <f>SUM(AD72)</f>
        <v>0</v>
      </c>
      <c r="AE117" s="75">
        <f>SUM(AE72)</f>
        <v>0</v>
      </c>
      <c r="AF117" s="75">
        <f>SUM(AF72)</f>
        <v>0</v>
      </c>
      <c r="AG117" s="75">
        <f>SUM(AG72)</f>
        <v>0</v>
      </c>
      <c r="AH117" s="75">
        <f>SUM(AH72)</f>
        <v>0</v>
      </c>
      <c r="AI117" s="75">
        <f>SUM(AI72)</f>
        <v>0</v>
      </c>
      <c r="AJ117" s="75">
        <f>SUM(AJ72)</f>
        <v>0</v>
      </c>
      <c r="AK117" s="75">
        <f>SUM(AK72)</f>
        <v>0</v>
      </c>
      <c r="AL117" s="75">
        <f>SUM(AL72)</f>
        <v>0</v>
      </c>
      <c r="AM117" s="75">
        <f>SUM(AM72)</f>
        <v>2220</v>
      </c>
      <c r="AN117" s="75">
        <f>SUM(AN72)</f>
        <v>0</v>
      </c>
      <c r="AO117" s="75">
        <f>SUM(AO72)</f>
        <v>0</v>
      </c>
      <c r="AP117" s="75">
        <f>SUM(AP72)</f>
        <v>0</v>
      </c>
      <c r="AQ117" s="75">
        <f>SUM(AQ72)</f>
        <v>0</v>
      </c>
      <c r="AR117" s="75">
        <f>SUM(AR72)</f>
        <v>0</v>
      </c>
      <c r="AS117" s="75">
        <f>SUM(AS72)</f>
        <v>6852</v>
      </c>
      <c r="AT117" s="75"/>
      <c r="AU117" s="75">
        <f>SUM(AU72)</f>
        <v>2400</v>
      </c>
      <c r="AV117" s="75"/>
      <c r="AW117" s="75">
        <f>K117+AS117+AU117</f>
        <v>139772</v>
      </c>
      <c r="AX117" s="118"/>
    </row>
    <row r="118" spans="2:50" x14ac:dyDescent="0.25">
      <c r="B118" s="35" t="s">
        <v>134</v>
      </c>
      <c r="C118" s="75">
        <f>SUM(C73:C80)</f>
        <v>0</v>
      </c>
      <c r="D118" s="75">
        <f>SUM(D73:D80)</f>
        <v>66626</v>
      </c>
      <c r="E118" s="75">
        <f>SUM(E73:E80)</f>
        <v>0</v>
      </c>
      <c r="F118" s="75">
        <f>SUM(F73:F80)</f>
        <v>0</v>
      </c>
      <c r="G118" s="75">
        <f>SUM(G73:G80)</f>
        <v>0</v>
      </c>
      <c r="H118" s="75">
        <f>SUM(H73:H80)</f>
        <v>0</v>
      </c>
      <c r="I118" s="75">
        <f>SUM(I73:I80)</f>
        <v>0</v>
      </c>
      <c r="J118" s="75">
        <f>SUM(J73:J80)</f>
        <v>0</v>
      </c>
      <c r="K118" s="75">
        <f>SUM(K73:K80)</f>
        <v>66626</v>
      </c>
      <c r="L118" s="75"/>
      <c r="M118" s="75">
        <f>SUM(M73:M80)</f>
        <v>0</v>
      </c>
      <c r="N118" s="75">
        <f>SUM(N73:N80)</f>
        <v>0</v>
      </c>
      <c r="O118" s="75">
        <f>SUM(O73:O80)</f>
        <v>0</v>
      </c>
      <c r="P118" s="75">
        <f>SUM(P73:P80)</f>
        <v>0</v>
      </c>
      <c r="Q118" s="75">
        <f>SUM(Q73:Q80)</f>
        <v>0</v>
      </c>
      <c r="R118" s="75">
        <f>SUM(R73:R80)</f>
        <v>0</v>
      </c>
      <c r="S118" s="75">
        <f>SUM(S73:S80)</f>
        <v>0</v>
      </c>
      <c r="T118" s="75">
        <f>SUM(T73:T80)</f>
        <v>1329404</v>
      </c>
      <c r="U118" s="75">
        <f>SUM(U73:U80)</f>
        <v>0</v>
      </c>
      <c r="V118" s="75">
        <f>SUM(V73:V80)</f>
        <v>0</v>
      </c>
      <c r="W118" s="75">
        <f>SUM(W73:W80)</f>
        <v>0</v>
      </c>
      <c r="X118" s="75">
        <f>SUM(X73:X80)</f>
        <v>0</v>
      </c>
      <c r="Y118" s="75">
        <f>SUM(Y73:Y80)</f>
        <v>0</v>
      </c>
      <c r="Z118" s="75">
        <f>SUM(Z73:Z80)</f>
        <v>0</v>
      </c>
      <c r="AA118" s="75">
        <f>SUM(AA73:AA80)</f>
        <v>0</v>
      </c>
      <c r="AB118" s="75">
        <f>SUM(AB73:AB80)</f>
        <v>0</v>
      </c>
      <c r="AC118" s="75">
        <f>SUM(AC73:AC80)</f>
        <v>0</v>
      </c>
      <c r="AD118" s="75">
        <f>SUM(AD73:AD80)</f>
        <v>0</v>
      </c>
      <c r="AE118" s="75">
        <f>SUM(AE73:AE80)</f>
        <v>0</v>
      </c>
      <c r="AF118" s="75">
        <f>SUM(AF73:AF80)</f>
        <v>0</v>
      </c>
      <c r="AG118" s="75">
        <f>SUM(AG73:AG80)</f>
        <v>0</v>
      </c>
      <c r="AH118" s="75">
        <f>SUM(AH73:AH80)</f>
        <v>0</v>
      </c>
      <c r="AI118" s="75">
        <f>SUM(AI73:AI80)</f>
        <v>0</v>
      </c>
      <c r="AJ118" s="75">
        <f>SUM(AJ73:AJ80)</f>
        <v>0</v>
      </c>
      <c r="AK118" s="75">
        <f>SUM(AK73:AK80)</f>
        <v>0</v>
      </c>
      <c r="AL118" s="75">
        <f>SUM(AL73:AL80)</f>
        <v>0</v>
      </c>
      <c r="AM118" s="75">
        <f>SUM(AM73:AM80)</f>
        <v>0</v>
      </c>
      <c r="AN118" s="75">
        <f>SUM(AN73:AN80)</f>
        <v>0</v>
      </c>
      <c r="AO118" s="75">
        <f>SUM(AO73:AO80)</f>
        <v>0</v>
      </c>
      <c r="AP118" s="75">
        <f>SUM(AP73:AP80)</f>
        <v>0</v>
      </c>
      <c r="AQ118" s="75">
        <f>SUM(AQ73:AQ80)</f>
        <v>0</v>
      </c>
      <c r="AR118" s="75">
        <f>SUM(AR73:AR80)</f>
        <v>0</v>
      </c>
      <c r="AS118" s="75">
        <f>SUM(AS73:AS80)</f>
        <v>1329404</v>
      </c>
      <c r="AT118" s="75"/>
      <c r="AU118" s="75">
        <f>SUM(AU73:AU80)</f>
        <v>9503434</v>
      </c>
      <c r="AV118" s="75"/>
      <c r="AW118" s="75">
        <f>K118+AS118+AU118</f>
        <v>10899464</v>
      </c>
      <c r="AX118" s="118"/>
    </row>
    <row r="119" spans="2:50" x14ac:dyDescent="0.25">
      <c r="B119" s="35" t="s">
        <v>128</v>
      </c>
      <c r="C119" s="109">
        <f>SUM(C109:C118)</f>
        <v>720773</v>
      </c>
      <c r="D119" s="109">
        <f>SUM(D109:D118)</f>
        <v>463382</v>
      </c>
      <c r="E119" s="109">
        <f t="shared" ref="E119:AU119" si="12">SUM(E109:E118)</f>
        <v>352726</v>
      </c>
      <c r="F119" s="109">
        <f t="shared" si="12"/>
        <v>2221284</v>
      </c>
      <c r="G119" s="109">
        <f t="shared" si="12"/>
        <v>650356</v>
      </c>
      <c r="H119" s="109">
        <f t="shared" si="12"/>
        <v>1214706</v>
      </c>
      <c r="I119" s="109">
        <f t="shared" si="12"/>
        <v>423097</v>
      </c>
      <c r="J119" s="109">
        <f t="shared" si="12"/>
        <v>780731</v>
      </c>
      <c r="K119" s="109">
        <f t="shared" si="12"/>
        <v>6827055</v>
      </c>
      <c r="L119" s="75"/>
      <c r="M119" s="109">
        <f>SUM(M109:M118)</f>
        <v>571432</v>
      </c>
      <c r="N119" s="109">
        <f t="shared" ref="N119:AR119" si="13">SUM(N109:N118)</f>
        <v>1827945</v>
      </c>
      <c r="O119" s="109">
        <f t="shared" si="13"/>
        <v>53451</v>
      </c>
      <c r="P119" s="109">
        <f t="shared" si="13"/>
        <v>106883</v>
      </c>
      <c r="Q119" s="109">
        <f t="shared" si="13"/>
        <v>55156</v>
      </c>
      <c r="R119" s="109">
        <f t="shared" si="13"/>
        <v>5332</v>
      </c>
      <c r="S119" s="109">
        <f t="shared" si="13"/>
        <v>340266</v>
      </c>
      <c r="T119" s="109">
        <f t="shared" si="13"/>
        <v>2223332</v>
      </c>
      <c r="U119" s="109">
        <f t="shared" si="13"/>
        <v>675805</v>
      </c>
      <c r="V119" s="109">
        <f t="shared" si="13"/>
        <v>685972</v>
      </c>
      <c r="W119" s="109">
        <f t="shared" si="13"/>
        <v>149457</v>
      </c>
      <c r="X119" s="109">
        <f t="shared" si="13"/>
        <v>511285</v>
      </c>
      <c r="Y119" s="109">
        <f t="shared" si="13"/>
        <v>58578</v>
      </c>
      <c r="Z119" s="109">
        <f t="shared" si="13"/>
        <v>197064</v>
      </c>
      <c r="AA119" s="109">
        <f t="shared" si="13"/>
        <v>0</v>
      </c>
      <c r="AB119" s="109">
        <f t="shared" si="13"/>
        <v>132731</v>
      </c>
      <c r="AC119" s="109">
        <f t="shared" si="13"/>
        <v>308535</v>
      </c>
      <c r="AD119" s="109">
        <f t="shared" si="13"/>
        <v>11509</v>
      </c>
      <c r="AE119" s="109">
        <f t="shared" si="13"/>
        <v>23506</v>
      </c>
      <c r="AF119" s="109">
        <f t="shared" si="13"/>
        <v>69882</v>
      </c>
      <c r="AG119" s="109">
        <f t="shared" si="13"/>
        <v>177397</v>
      </c>
      <c r="AH119" s="109">
        <f t="shared" si="13"/>
        <v>3173172</v>
      </c>
      <c r="AI119" s="109">
        <f t="shared" si="13"/>
        <v>227616</v>
      </c>
      <c r="AJ119" s="109">
        <f t="shared" si="13"/>
        <v>1934580</v>
      </c>
      <c r="AK119" s="109">
        <f t="shared" si="13"/>
        <v>28303</v>
      </c>
      <c r="AL119" s="109">
        <f t="shared" si="13"/>
        <v>32944</v>
      </c>
      <c r="AM119" s="109">
        <f t="shared" si="13"/>
        <v>235308</v>
      </c>
      <c r="AN119" s="109">
        <f t="shared" si="13"/>
        <v>545471</v>
      </c>
      <c r="AO119" s="109">
        <f t="shared" si="13"/>
        <v>20352</v>
      </c>
      <c r="AP119" s="109">
        <f t="shared" si="13"/>
        <v>865093</v>
      </c>
      <c r="AQ119" s="109">
        <f t="shared" si="13"/>
        <v>1130368</v>
      </c>
      <c r="AR119" s="109">
        <f t="shared" si="13"/>
        <v>1087455</v>
      </c>
      <c r="AS119" s="109">
        <f>SUM(AS109:AS118)</f>
        <v>17466180</v>
      </c>
      <c r="AT119" s="75"/>
      <c r="AU119" s="109">
        <f t="shared" si="12"/>
        <v>24552755</v>
      </c>
      <c r="AV119" s="75"/>
      <c r="AW119" s="109">
        <f>SUM(AW109:AW118)</f>
        <v>48845990</v>
      </c>
      <c r="AX119" s="217"/>
    </row>
    <row r="120" spans="2:50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X120" s="72"/>
    </row>
    <row r="121" spans="2:50" s="44" customFormat="1" ht="40.200000000000003" hidden="1" customHeight="1" x14ac:dyDescent="0.3">
      <c r="B121" s="50" t="s">
        <v>135</v>
      </c>
      <c r="C121" s="51" t="s">
        <v>136</v>
      </c>
      <c r="D121" s="52" t="s">
        <v>137</v>
      </c>
      <c r="E121" s="51" t="s">
        <v>138</v>
      </c>
      <c r="F121" s="52" t="s">
        <v>139</v>
      </c>
      <c r="G121" s="52" t="s">
        <v>140</v>
      </c>
      <c r="H121" s="52" t="s">
        <v>141</v>
      </c>
      <c r="I121" s="52" t="s">
        <v>143</v>
      </c>
      <c r="J121" s="52" t="s">
        <v>144</v>
      </c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 t="s">
        <v>145</v>
      </c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3" t="s">
        <v>146</v>
      </c>
      <c r="AV121" s="54"/>
      <c r="AW121" s="54"/>
    </row>
    <row r="122" spans="2:50" ht="40.200000000000003" hidden="1" customHeight="1" x14ac:dyDescent="0.25">
      <c r="B122" s="55"/>
      <c r="D122" s="54" t="s">
        <v>147</v>
      </c>
      <c r="E122" s="56"/>
      <c r="F122" s="57" t="s">
        <v>148</v>
      </c>
      <c r="G122" s="57" t="s">
        <v>149</v>
      </c>
      <c r="H122" s="57" t="s">
        <v>150</v>
      </c>
      <c r="I122" s="58"/>
      <c r="J122" s="57" t="s">
        <v>151</v>
      </c>
      <c r="K122" s="59"/>
      <c r="L122" s="60"/>
      <c r="M122" s="59"/>
      <c r="N122" s="59"/>
      <c r="O122" s="59"/>
      <c r="P122" s="59"/>
      <c r="Q122" s="59"/>
      <c r="R122" s="59"/>
      <c r="S122" s="59"/>
      <c r="T122" s="59"/>
      <c r="U122" s="59"/>
      <c r="V122" s="60" t="s">
        <v>152</v>
      </c>
      <c r="AU122" s="61" t="s">
        <v>153</v>
      </c>
    </row>
    <row r="123" spans="2:50" ht="40.200000000000003" hidden="1" customHeight="1" x14ac:dyDescent="0.25">
      <c r="B123" s="55"/>
      <c r="D123" s="56"/>
      <c r="E123" s="56"/>
      <c r="F123" s="57" t="s">
        <v>154</v>
      </c>
      <c r="G123" s="57" t="s">
        <v>155</v>
      </c>
      <c r="H123" s="57" t="s">
        <v>156</v>
      </c>
      <c r="I123" s="58"/>
      <c r="J123" s="57" t="s">
        <v>157</v>
      </c>
      <c r="K123" s="59"/>
      <c r="L123" s="60"/>
      <c r="M123" s="59"/>
      <c r="N123" s="59"/>
      <c r="O123" s="59"/>
      <c r="P123" s="59"/>
      <c r="Q123" s="59"/>
      <c r="R123" s="59"/>
      <c r="S123" s="59"/>
      <c r="T123" s="59"/>
      <c r="U123" s="59"/>
      <c r="V123" s="60" t="s">
        <v>158</v>
      </c>
      <c r="AU123" s="61" t="s">
        <v>159</v>
      </c>
    </row>
    <row r="124" spans="2:50" ht="40.200000000000003" hidden="1" customHeight="1" x14ac:dyDescent="0.25">
      <c r="B124" s="55"/>
      <c r="D124" s="56"/>
      <c r="E124" s="56"/>
      <c r="F124" s="57" t="s">
        <v>160</v>
      </c>
      <c r="G124" s="57" t="s">
        <v>161</v>
      </c>
      <c r="H124" s="57" t="s">
        <v>162</v>
      </c>
      <c r="I124" s="58"/>
      <c r="J124" s="58"/>
      <c r="K124" s="59"/>
      <c r="L124" s="60"/>
      <c r="M124" s="59"/>
      <c r="N124" s="59"/>
      <c r="O124" s="59"/>
      <c r="P124" s="59"/>
      <c r="Q124" s="59"/>
      <c r="R124" s="59"/>
      <c r="S124" s="59"/>
      <c r="T124" s="59"/>
      <c r="U124" s="59"/>
      <c r="V124" s="60" t="s">
        <v>163</v>
      </c>
      <c r="AU124" s="61" t="s">
        <v>164</v>
      </c>
    </row>
    <row r="125" spans="2:50" ht="40.200000000000003" hidden="1" customHeight="1" x14ac:dyDescent="0.25">
      <c r="B125" s="55"/>
      <c r="D125" s="56"/>
      <c r="E125" s="56"/>
      <c r="F125" s="57" t="s">
        <v>165</v>
      </c>
      <c r="G125" s="57" t="s">
        <v>166</v>
      </c>
      <c r="H125" s="57" t="s">
        <v>167</v>
      </c>
      <c r="I125" s="58"/>
      <c r="J125" s="58"/>
      <c r="K125" s="59"/>
      <c r="L125" s="60"/>
      <c r="M125" s="59"/>
      <c r="N125" s="59"/>
      <c r="O125" s="59"/>
      <c r="P125" s="59"/>
      <c r="Q125" s="59"/>
      <c r="R125" s="59"/>
      <c r="S125" s="59"/>
      <c r="T125" s="59"/>
      <c r="U125" s="59"/>
      <c r="V125" s="60" t="s">
        <v>163</v>
      </c>
      <c r="AU125" s="62"/>
    </row>
    <row r="126" spans="2:50" ht="40.200000000000003" hidden="1" customHeight="1" x14ac:dyDescent="0.25">
      <c r="B126" s="55"/>
      <c r="D126" s="56"/>
      <c r="E126" s="56"/>
      <c r="F126" s="57" t="s">
        <v>168</v>
      </c>
      <c r="G126" s="57" t="s">
        <v>169</v>
      </c>
      <c r="H126" s="57" t="s">
        <v>170</v>
      </c>
      <c r="I126" s="58"/>
      <c r="J126" s="58"/>
      <c r="K126" s="59"/>
      <c r="L126" s="60"/>
      <c r="M126" s="59"/>
      <c r="N126" s="59"/>
      <c r="O126" s="59"/>
      <c r="P126" s="59"/>
      <c r="Q126" s="59"/>
      <c r="R126" s="59"/>
      <c r="S126" s="59"/>
      <c r="T126" s="59"/>
      <c r="U126" s="59"/>
      <c r="V126" s="60" t="s">
        <v>171</v>
      </c>
      <c r="AU126" s="62"/>
    </row>
    <row r="127" spans="2:50" ht="40.200000000000003" hidden="1" customHeight="1" x14ac:dyDescent="0.25">
      <c r="B127" s="55"/>
      <c r="D127" s="56"/>
      <c r="E127" s="56"/>
      <c r="F127" s="57" t="s">
        <v>172</v>
      </c>
      <c r="G127" s="58"/>
      <c r="H127" s="57" t="s">
        <v>173</v>
      </c>
      <c r="I127" s="58"/>
      <c r="J127" s="58"/>
      <c r="K127" s="59"/>
      <c r="L127" s="60"/>
      <c r="M127" s="59"/>
      <c r="N127" s="59"/>
      <c r="O127" s="59"/>
      <c r="P127" s="59"/>
      <c r="Q127" s="59"/>
      <c r="R127" s="59"/>
      <c r="S127" s="59"/>
      <c r="T127" s="59"/>
      <c r="U127" s="59"/>
      <c r="V127" s="60" t="s">
        <v>174</v>
      </c>
      <c r="AU127" s="62"/>
    </row>
    <row r="128" spans="2:50" ht="40.200000000000003" hidden="1" customHeight="1" x14ac:dyDescent="0.25">
      <c r="B128" s="55"/>
      <c r="D128" s="56"/>
      <c r="E128" s="56"/>
      <c r="F128" s="57" t="s">
        <v>175</v>
      </c>
      <c r="G128" s="58"/>
      <c r="H128" s="57" t="s">
        <v>150</v>
      </c>
      <c r="I128" s="58"/>
      <c r="J128" s="58"/>
      <c r="K128" s="59"/>
      <c r="L128" s="60"/>
      <c r="M128" s="59"/>
      <c r="N128" s="59"/>
      <c r="O128" s="59"/>
      <c r="P128" s="59"/>
      <c r="Q128" s="59"/>
      <c r="R128" s="59"/>
      <c r="S128" s="59"/>
      <c r="T128" s="59"/>
      <c r="U128" s="59"/>
      <c r="V128" s="60" t="s">
        <v>176</v>
      </c>
      <c r="AU128" s="62"/>
    </row>
    <row r="129" spans="2:47" ht="40.200000000000003" hidden="1" customHeight="1" x14ac:dyDescent="0.25">
      <c r="B129" s="55"/>
      <c r="D129" s="56"/>
      <c r="E129" s="56"/>
      <c r="F129" s="57" t="s">
        <v>177</v>
      </c>
      <c r="G129" s="58"/>
      <c r="H129" s="58"/>
      <c r="I129" s="58"/>
      <c r="J129" s="58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AU129" s="62"/>
    </row>
    <row r="130" spans="2:47" ht="40.200000000000003" hidden="1" customHeight="1" x14ac:dyDescent="0.25">
      <c r="B130" s="63"/>
      <c r="C130" s="9"/>
      <c r="D130" s="64"/>
      <c r="E130" s="64"/>
      <c r="F130" s="65" t="s">
        <v>178</v>
      </c>
      <c r="G130" s="66"/>
      <c r="H130" s="66"/>
      <c r="I130" s="66"/>
      <c r="J130" s="66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68"/>
    </row>
    <row r="131" spans="2:47" ht="40.200000000000003" hidden="1" customHeight="1" x14ac:dyDescent="0.25">
      <c r="D131" s="56"/>
      <c r="E131" s="56"/>
      <c r="F131" s="58"/>
      <c r="G131" s="58"/>
      <c r="H131" s="58"/>
      <c r="I131" s="58"/>
      <c r="J131" s="58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</row>
    <row r="132" spans="2:47" x14ac:dyDescent="0.25"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</row>
    <row r="135" spans="2:47" x14ac:dyDescent="0.25">
      <c r="AP135" s="35"/>
    </row>
    <row r="136" spans="2:47" x14ac:dyDescent="0.25">
      <c r="AP136" s="35"/>
    </row>
    <row r="137" spans="2:47" x14ac:dyDescent="0.25">
      <c r="AP137" s="35"/>
    </row>
    <row r="138" spans="2:47" x14ac:dyDescent="0.25">
      <c r="AP138" s="35"/>
    </row>
    <row r="139" spans="2:47" x14ac:dyDescent="0.25">
      <c r="AP139" s="35"/>
    </row>
    <row r="140" spans="2:47" x14ac:dyDescent="0.25">
      <c r="AP140" s="35"/>
    </row>
    <row r="141" spans="2:47" x14ac:dyDescent="0.25">
      <c r="AP141" s="35"/>
    </row>
    <row r="142" spans="2:47" x14ac:dyDescent="0.25">
      <c r="AP142" s="35"/>
    </row>
    <row r="143" spans="2:47" x14ac:dyDescent="0.25">
      <c r="AP143" s="35"/>
    </row>
    <row r="144" spans="2:47" x14ac:dyDescent="0.25">
      <c r="AP144" s="35"/>
    </row>
  </sheetData>
  <mergeCells count="1">
    <mergeCell ref="A81:B81"/>
  </mergeCells>
  <conditionalFormatting sqref="AX120">
    <cfRule type="containsText" dxfId="1" priority="1" operator="containsText" text="ERROR">
      <formula>NOT(ISERROR(SEARCH("ERROR",AX120)))</formula>
    </cfRule>
    <cfRule type="containsText" dxfId="0" priority="2" operator="containsText" text="OK">
      <formula>NOT(ISERROR(SEARCH("OK",AX120)))</formula>
    </cfRule>
  </conditionalFormatting>
  <printOptions horizontalCentered="1"/>
  <pageMargins left="0.25" right="0.25" top="1.25" bottom="0.25" header="0.5" footer="0.3"/>
  <pageSetup paperSize="3" scale="78" fitToWidth="4" orientation="portrait" r:id="rId1"/>
  <headerFooter>
    <oddHeader>&amp;C&amp;"Agenda,Regular"&amp;12&amp;K1E384BDENTON COUNTY TRANSPORTATION AUTHORITY
FY22 Proposed Budget
Budget Detail by Department</oddHeader>
  </headerFooter>
  <colBreaks count="1" manualBreakCount="1">
    <brk id="12" max="1048575" man="1"/>
  </colBreaks>
  <ignoredErrors>
    <ignoredError sqref="C109:H118 I109:N118 AA109:AU118 Y109:Z118 W109:X118 T109:V118 O109:S1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F0B7-BC25-4E75-9EDC-841495E632A5}">
  <dimension ref="A1:CN103"/>
  <sheetViews>
    <sheetView topLeftCell="A2" zoomScaleNormal="100" zoomScaleSheetLayoutView="75" workbookViewId="0">
      <pane xSplit="1" ySplit="13" topLeftCell="B48" activePane="bottomRight" state="frozen"/>
      <selection activeCell="A2" sqref="A2"/>
      <selection pane="topRight" activeCell="B2" sqref="B2"/>
      <selection pane="bottomLeft" activeCell="A15" sqref="A15"/>
      <selection pane="bottomRight" activeCell="H51" sqref="H51"/>
    </sheetView>
  </sheetViews>
  <sheetFormatPr defaultColWidth="8.6640625" defaultRowHeight="13.2" x14ac:dyDescent="0.25"/>
  <cols>
    <col min="1" max="1" width="33" style="5" customWidth="1"/>
    <col min="2" max="2" width="12.5546875" style="8" customWidth="1"/>
    <col min="3" max="3" width="14.6640625" style="8" customWidth="1"/>
    <col min="4" max="4" width="11.6640625" style="8" customWidth="1"/>
    <col min="5" max="5" width="14" style="8" customWidth="1"/>
    <col min="6" max="6" width="11.6640625" style="8" customWidth="1"/>
    <col min="7" max="7" width="13.6640625" style="8" customWidth="1"/>
    <col min="8" max="8" width="12.44140625" style="8" customWidth="1"/>
    <col min="9" max="9" width="11.6640625" style="8" customWidth="1"/>
    <col min="10" max="10" width="12.5546875" style="8" customWidth="1"/>
    <col min="11" max="11" width="13.44140625" style="8" customWidth="1"/>
    <col min="12" max="21" width="11.6640625" style="8" customWidth="1"/>
    <col min="22" max="22" width="12.6640625" style="8" customWidth="1"/>
    <col min="23" max="23" width="11.6640625" style="8" customWidth="1"/>
    <col min="24" max="25" width="12.6640625" style="8" customWidth="1"/>
    <col min="26" max="27" width="13" style="8" customWidth="1"/>
    <col min="28" max="29" width="12.6640625" style="8" customWidth="1"/>
    <col min="30" max="31" width="11.33203125" style="8" customWidth="1"/>
    <col min="32" max="37" width="12.6640625" style="8" customWidth="1"/>
    <col min="38" max="39" width="10.6640625" style="8" customWidth="1"/>
    <col min="40" max="40" width="11.33203125" style="8" bestFit="1" customWidth="1"/>
    <col min="41" max="43" width="10.6640625" style="8" customWidth="1"/>
    <col min="44" max="45" width="12.44140625" style="8" customWidth="1"/>
    <col min="46" max="48" width="13.6640625" style="8" customWidth="1"/>
    <col min="49" max="50" width="13.44140625" style="8" customWidth="1"/>
    <col min="51" max="51" width="15" style="5" customWidth="1"/>
    <col min="52" max="52" width="12.44140625" style="5" customWidth="1"/>
    <col min="53" max="53" width="14.5546875" style="5" customWidth="1"/>
    <col min="54" max="54" width="11.6640625" style="5" customWidth="1"/>
    <col min="55" max="55" width="13.33203125" style="5" customWidth="1"/>
    <col min="56" max="56" width="13.5546875" style="5" customWidth="1"/>
    <col min="57" max="57" width="12.33203125" style="5" customWidth="1"/>
    <col min="58" max="59" width="12.33203125" style="5" bestFit="1" customWidth="1"/>
    <col min="60" max="60" width="9.6640625" style="5" bestFit="1" customWidth="1"/>
    <col min="61" max="61" width="11.33203125" style="5" bestFit="1" customWidth="1"/>
    <col min="62" max="62" width="8.6640625" style="5"/>
    <col min="63" max="63" width="12.33203125" style="5" bestFit="1" customWidth="1"/>
    <col min="64" max="64" width="15.6640625" style="5" bestFit="1" customWidth="1"/>
    <col min="65" max="65" width="16.6640625" style="5" customWidth="1"/>
    <col min="66" max="67" width="11.33203125" style="5" bestFit="1" customWidth="1"/>
    <col min="68" max="68" width="12.33203125" style="5" bestFit="1" customWidth="1"/>
    <col min="69" max="69" width="17.5546875" style="5" bestFit="1" customWidth="1"/>
    <col min="70" max="72" width="12.33203125" style="5" bestFit="1" customWidth="1"/>
    <col min="73" max="74" width="11.33203125" style="5" bestFit="1" customWidth="1"/>
    <col min="75" max="75" width="9" style="5" bestFit="1" customWidth="1"/>
    <col min="76" max="16384" width="8.6640625" style="5"/>
  </cols>
  <sheetData>
    <row r="1" spans="1:75" hidden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107" t="s">
        <v>126</v>
      </c>
      <c r="AV1" s="83" t="e">
        <f>#REF!-#REF!+#REF!</f>
        <v>#REF!</v>
      </c>
    </row>
    <row r="2" spans="1:75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W2" s="331" t="s">
        <v>127</v>
      </c>
      <c r="AX2" s="331"/>
    </row>
    <row r="3" spans="1:7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75" s="44" customFormat="1" ht="40.200000000000003" hidden="1" customHeight="1" x14ac:dyDescent="0.25">
      <c r="A4" s="50" t="s">
        <v>135</v>
      </c>
      <c r="B4" s="51" t="s">
        <v>136</v>
      </c>
      <c r="C4" s="52" t="s">
        <v>137</v>
      </c>
      <c r="D4" s="51" t="s">
        <v>138</v>
      </c>
      <c r="E4" s="52" t="s">
        <v>139</v>
      </c>
      <c r="F4" s="52" t="s">
        <v>140</v>
      </c>
      <c r="G4" s="52" t="s">
        <v>141</v>
      </c>
      <c r="H4" s="52" t="s">
        <v>142</v>
      </c>
      <c r="I4" s="52" t="s">
        <v>143</v>
      </c>
      <c r="J4" s="52" t="s">
        <v>144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 t="s">
        <v>145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3" t="s">
        <v>146</v>
      </c>
      <c r="AV4" s="54"/>
      <c r="AW4" s="54"/>
      <c r="AX4" s="54"/>
      <c r="AY4" s="168"/>
    </row>
    <row r="5" spans="1:75" ht="40.200000000000003" hidden="1" customHeight="1" x14ac:dyDescent="0.25">
      <c r="A5" s="55"/>
      <c r="C5" s="54" t="s">
        <v>147</v>
      </c>
      <c r="D5" s="56"/>
      <c r="E5" s="57" t="s">
        <v>148</v>
      </c>
      <c r="F5" s="57" t="s">
        <v>149</v>
      </c>
      <c r="G5" s="57" t="s">
        <v>150</v>
      </c>
      <c r="H5" s="58"/>
      <c r="I5" s="58"/>
      <c r="J5" s="57" t="s">
        <v>151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 t="s">
        <v>152</v>
      </c>
      <c r="AU5" s="61" t="s">
        <v>153</v>
      </c>
      <c r="AY5" s="168"/>
    </row>
    <row r="6" spans="1:75" ht="40.200000000000003" hidden="1" customHeight="1" x14ac:dyDescent="0.25">
      <c r="A6" s="55"/>
      <c r="C6" s="56"/>
      <c r="D6" s="56"/>
      <c r="E6" s="57" t="s">
        <v>154</v>
      </c>
      <c r="F6" s="57" t="s">
        <v>155</v>
      </c>
      <c r="G6" s="57" t="s">
        <v>156</v>
      </c>
      <c r="H6" s="58"/>
      <c r="I6" s="58"/>
      <c r="J6" s="57" t="s">
        <v>157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 t="s">
        <v>158</v>
      </c>
      <c r="AU6" s="61" t="s">
        <v>159</v>
      </c>
      <c r="AY6" s="168"/>
    </row>
    <row r="7" spans="1:75" ht="40.200000000000003" hidden="1" customHeight="1" x14ac:dyDescent="0.25">
      <c r="A7" s="55"/>
      <c r="C7" s="56"/>
      <c r="D7" s="56"/>
      <c r="E7" s="57" t="s">
        <v>160</v>
      </c>
      <c r="F7" s="57" t="s">
        <v>161</v>
      </c>
      <c r="G7" s="57" t="s">
        <v>162</v>
      </c>
      <c r="H7" s="58"/>
      <c r="I7" s="58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 t="s">
        <v>163</v>
      </c>
      <c r="AU7" s="61" t="s">
        <v>164</v>
      </c>
      <c r="AY7" s="168"/>
    </row>
    <row r="8" spans="1:75" ht="40.200000000000003" hidden="1" customHeight="1" x14ac:dyDescent="0.25">
      <c r="A8" s="55"/>
      <c r="C8" s="56"/>
      <c r="D8" s="56"/>
      <c r="E8" s="57" t="s">
        <v>165</v>
      </c>
      <c r="F8" s="57" t="s">
        <v>166</v>
      </c>
      <c r="G8" s="57" t="s">
        <v>167</v>
      </c>
      <c r="H8" s="58"/>
      <c r="I8" s="58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 t="s">
        <v>163</v>
      </c>
      <c r="AU8" s="62"/>
    </row>
    <row r="9" spans="1:75" ht="40.200000000000003" hidden="1" customHeight="1" x14ac:dyDescent="0.25">
      <c r="A9" s="55"/>
      <c r="C9" s="56"/>
      <c r="D9" s="56"/>
      <c r="E9" s="57" t="s">
        <v>168</v>
      </c>
      <c r="F9" s="57" t="s">
        <v>169</v>
      </c>
      <c r="G9" s="57" t="s">
        <v>170</v>
      </c>
      <c r="H9" s="58"/>
      <c r="I9" s="58"/>
      <c r="J9" s="58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 t="s">
        <v>171</v>
      </c>
      <c r="AU9" s="62"/>
    </row>
    <row r="10" spans="1:75" ht="40.200000000000003" hidden="1" customHeight="1" x14ac:dyDescent="0.25">
      <c r="A10" s="55"/>
      <c r="C10" s="56"/>
      <c r="D10" s="56"/>
      <c r="E10" s="57" t="s">
        <v>172</v>
      </c>
      <c r="F10" s="58"/>
      <c r="G10" s="57" t="s">
        <v>173</v>
      </c>
      <c r="H10" s="58"/>
      <c r="I10" s="58"/>
      <c r="J10" s="58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 t="s">
        <v>174</v>
      </c>
      <c r="AU10" s="62"/>
    </row>
    <row r="11" spans="1:75" ht="40.200000000000003" hidden="1" customHeight="1" x14ac:dyDescent="0.25">
      <c r="A11" s="55"/>
      <c r="C11" s="56"/>
      <c r="D11" s="56"/>
      <c r="E11" s="57" t="s">
        <v>175</v>
      </c>
      <c r="F11" s="58"/>
      <c r="G11" s="57" t="s">
        <v>150</v>
      </c>
      <c r="H11" s="58"/>
      <c r="I11" s="58"/>
      <c r="J11" s="58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 t="s">
        <v>176</v>
      </c>
      <c r="AU11" s="62"/>
    </row>
    <row r="12" spans="1:75" ht="40.200000000000003" hidden="1" customHeight="1" x14ac:dyDescent="0.25">
      <c r="A12" s="55"/>
      <c r="C12" s="56"/>
      <c r="D12" s="56"/>
      <c r="E12" s="57" t="s">
        <v>177</v>
      </c>
      <c r="F12" s="58"/>
      <c r="G12" s="58"/>
      <c r="H12" s="58"/>
      <c r="I12" s="58"/>
      <c r="J12" s="58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AU12" s="62"/>
    </row>
    <row r="13" spans="1:75" s="143" customFormat="1" ht="40.200000000000003" hidden="1" customHeight="1" x14ac:dyDescent="0.25">
      <c r="A13" s="63"/>
      <c r="B13" s="9"/>
      <c r="C13" s="64"/>
      <c r="D13" s="64"/>
      <c r="E13" s="65" t="s">
        <v>178</v>
      </c>
      <c r="F13" s="66"/>
      <c r="G13" s="66"/>
      <c r="H13" s="66"/>
      <c r="I13" s="66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68"/>
      <c r="AV13" s="8"/>
      <c r="AW13" s="8"/>
      <c r="AX13" s="8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</row>
    <row r="14" spans="1:75" s="143" customFormat="1" ht="40.200000000000003" hidden="1" customHeight="1" x14ac:dyDescent="0.25">
      <c r="A14" s="5"/>
      <c r="B14" s="8"/>
      <c r="C14" s="56"/>
      <c r="D14" s="56"/>
      <c r="E14" s="58"/>
      <c r="F14" s="58"/>
      <c r="G14" s="58"/>
      <c r="H14" s="58"/>
      <c r="I14" s="58"/>
      <c r="J14" s="58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</row>
    <row r="15" spans="1:75" s="143" customFormat="1" x14ac:dyDescent="0.25">
      <c r="A15" s="5"/>
      <c r="B15" s="8"/>
      <c r="C15" s="8"/>
      <c r="D15" s="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</row>
    <row r="16" spans="1:75" s="140" customFormat="1" ht="41.7" customHeight="1" x14ac:dyDescent="0.25">
      <c r="A16" s="187" t="s">
        <v>249</v>
      </c>
      <c r="B16" s="183" t="s">
        <v>262</v>
      </c>
      <c r="C16" s="184" t="s">
        <v>245</v>
      </c>
      <c r="D16" s="185" t="s">
        <v>248</v>
      </c>
      <c r="E16" s="183" t="s">
        <v>263</v>
      </c>
      <c r="F16" s="184" t="s">
        <v>205</v>
      </c>
      <c r="G16" s="185" t="s">
        <v>248</v>
      </c>
      <c r="H16" s="183" t="s">
        <v>264</v>
      </c>
      <c r="I16" s="184" t="s">
        <v>206</v>
      </c>
      <c r="J16" s="185" t="s">
        <v>248</v>
      </c>
      <c r="K16" s="183" t="s">
        <v>265</v>
      </c>
      <c r="L16" s="184" t="s">
        <v>207</v>
      </c>
      <c r="M16" s="185" t="s">
        <v>248</v>
      </c>
      <c r="N16" s="183" t="s">
        <v>266</v>
      </c>
      <c r="O16" s="184" t="s">
        <v>208</v>
      </c>
      <c r="P16" s="185" t="s">
        <v>248</v>
      </c>
      <c r="Q16" s="183" t="s">
        <v>267</v>
      </c>
      <c r="R16" s="184" t="s">
        <v>209</v>
      </c>
      <c r="S16" s="185" t="s">
        <v>248</v>
      </c>
      <c r="T16" s="183" t="s">
        <v>268</v>
      </c>
      <c r="U16" s="184" t="s">
        <v>210</v>
      </c>
      <c r="V16" s="185" t="s">
        <v>248</v>
      </c>
      <c r="W16" s="183" t="s">
        <v>269</v>
      </c>
      <c r="X16" s="184" t="s">
        <v>211</v>
      </c>
      <c r="Y16" s="185" t="s">
        <v>248</v>
      </c>
      <c r="Z16" s="183" t="s">
        <v>270</v>
      </c>
      <c r="AA16" s="184" t="s">
        <v>212</v>
      </c>
      <c r="AB16" s="185" t="s">
        <v>248</v>
      </c>
      <c r="AC16" s="183" t="s">
        <v>271</v>
      </c>
      <c r="AD16" s="183" t="s">
        <v>247</v>
      </c>
      <c r="AE16" s="185" t="s">
        <v>248</v>
      </c>
      <c r="AR16" s="60" t="s">
        <v>354</v>
      </c>
      <c r="AS16" s="60" t="s">
        <v>355</v>
      </c>
      <c r="AT16" s="60" t="s">
        <v>283</v>
      </c>
      <c r="AU16" s="60" t="s">
        <v>284</v>
      </c>
      <c r="AV16" s="60" t="s">
        <v>285</v>
      </c>
      <c r="AW16" s="60" t="s">
        <v>286</v>
      </c>
      <c r="AX16" s="60" t="s">
        <v>287</v>
      </c>
      <c r="AY16" s="60" t="s">
        <v>288</v>
      </c>
      <c r="AZ16" s="60" t="s">
        <v>289</v>
      </c>
      <c r="BA16" s="60" t="s">
        <v>290</v>
      </c>
      <c r="BB16" s="60" t="s">
        <v>291</v>
      </c>
      <c r="BC16" s="60" t="s">
        <v>292</v>
      </c>
      <c r="BD16" s="60" t="s">
        <v>293</v>
      </c>
      <c r="BE16" s="60" t="s">
        <v>294</v>
      </c>
      <c r="BF16" s="60" t="s">
        <v>295</v>
      </c>
      <c r="BG16" s="60" t="s">
        <v>296</v>
      </c>
      <c r="BH16" s="60" t="s">
        <v>297</v>
      </c>
      <c r="BI16" s="60" t="s">
        <v>298</v>
      </c>
      <c r="BJ16" s="60" t="s">
        <v>299</v>
      </c>
      <c r="BK16" s="60" t="s">
        <v>300</v>
      </c>
      <c r="BL16" s="60" t="s">
        <v>301</v>
      </c>
      <c r="BM16" s="60" t="s">
        <v>302</v>
      </c>
      <c r="BN16" s="60" t="s">
        <v>303</v>
      </c>
      <c r="BO16" s="60" t="s">
        <v>304</v>
      </c>
      <c r="BP16" s="60" t="s">
        <v>305</v>
      </c>
      <c r="BQ16" s="60" t="s">
        <v>306</v>
      </c>
      <c r="BR16" s="60" t="s">
        <v>356</v>
      </c>
      <c r="BS16" s="60" t="s">
        <v>308</v>
      </c>
      <c r="BT16" s="60" t="s">
        <v>192</v>
      </c>
      <c r="BU16" s="169" t="s">
        <v>348</v>
      </c>
      <c r="BV16" s="173" t="s">
        <v>362</v>
      </c>
      <c r="BW16" s="171" t="s">
        <v>363</v>
      </c>
    </row>
    <row r="17" spans="1:92" x14ac:dyDescent="0.25">
      <c r="A17" s="5" t="s">
        <v>129</v>
      </c>
      <c r="B17" s="8">
        <f>'Adopted FY20 Budget Fund'!$C107</f>
        <v>371456</v>
      </c>
      <c r="C17" s="75" t="e">
        <f>#REF!</f>
        <v>#REF!</v>
      </c>
      <c r="D17" s="182" t="e">
        <f>(C17-B17)/B17</f>
        <v>#REF!</v>
      </c>
      <c r="E17" s="8">
        <f>'Adopted FY20 Budget Fund'!$D107</f>
        <v>128403</v>
      </c>
      <c r="F17" s="75" t="e">
        <f>#REF!</f>
        <v>#REF!</v>
      </c>
      <c r="G17" s="182" t="e">
        <f>(F17-E17)/E17</f>
        <v>#REF!</v>
      </c>
      <c r="H17" s="8">
        <f>'Adopted FY20 Budget Fund'!$E107</f>
        <v>0</v>
      </c>
      <c r="I17" s="75" t="e">
        <f>#REF!</f>
        <v>#REF!</v>
      </c>
      <c r="J17" s="182"/>
      <c r="K17" s="8">
        <f>'Adopted FY20 Budget Fund'!$F107</f>
        <v>1228115</v>
      </c>
      <c r="L17" s="75" t="e">
        <f>#REF!</f>
        <v>#REF!</v>
      </c>
      <c r="M17" s="182" t="e">
        <f>(L17-K17)/K17</f>
        <v>#REF!</v>
      </c>
      <c r="N17" s="8">
        <f>'Adopted FY20 Budget Fund'!$G107</f>
        <v>798982</v>
      </c>
      <c r="O17" s="75" t="e">
        <f>#REF!</f>
        <v>#REF!</v>
      </c>
      <c r="P17" s="182" t="e">
        <f>(O17-N17)/N17</f>
        <v>#REF!</v>
      </c>
      <c r="Q17" s="8">
        <f>'Adopted FY20 Budget Fund'!$H107</f>
        <v>657060</v>
      </c>
      <c r="R17" s="75" t="e">
        <f>#REF!</f>
        <v>#REF!</v>
      </c>
      <c r="S17" s="182" t="e">
        <f>(R17-Q17)/Q17</f>
        <v>#REF!</v>
      </c>
      <c r="T17" s="8">
        <f>'Adopted FY20 Budget Fund'!$I107</f>
        <v>193317</v>
      </c>
      <c r="U17" s="75" t="e">
        <f>#REF!</f>
        <v>#REF!</v>
      </c>
      <c r="V17" s="182" t="e">
        <f>(U17-T17)/T17</f>
        <v>#REF!</v>
      </c>
      <c r="W17" s="8">
        <f>'Adopted FY20 Budget Fund'!$J107</f>
        <v>130546</v>
      </c>
      <c r="X17" s="75" t="e">
        <f>#REF!</f>
        <v>#REF!</v>
      </c>
      <c r="Y17" s="182" t="e">
        <f>(X17-W17)/W17</f>
        <v>#REF!</v>
      </c>
      <c r="Z17" s="8">
        <f>'Adopted FY20 Budget Fund'!$K107</f>
        <v>284048</v>
      </c>
      <c r="AA17" s="75" t="e">
        <f>#REF!</f>
        <v>#REF!</v>
      </c>
      <c r="AB17" s="182" t="e">
        <f>(AA17-Z17)/Z17</f>
        <v>#REF!</v>
      </c>
      <c r="AC17" s="8">
        <f>Z17+W17+T17+Q17+N17+K17+H17+E17+B17</f>
        <v>3791927</v>
      </c>
      <c r="AD17" s="8" t="e">
        <f>AA17+X17+U17+R17+O17+L17+I17+F17+C17</f>
        <v>#REF!</v>
      </c>
      <c r="AE17" s="182" t="e">
        <f>(AD17-AC17)/AC17</f>
        <v>#REF!</v>
      </c>
      <c r="AR17" s="8">
        <v>0</v>
      </c>
      <c r="AS17" s="8">
        <v>282565</v>
      </c>
      <c r="AT17" s="8">
        <v>382118</v>
      </c>
      <c r="AU17" s="8">
        <v>0</v>
      </c>
      <c r="AV17" s="8">
        <v>0</v>
      </c>
      <c r="AW17" s="8">
        <v>1362137</v>
      </c>
      <c r="AX17" s="8">
        <v>0</v>
      </c>
      <c r="AY17" s="8">
        <v>0</v>
      </c>
      <c r="AZ17" s="8">
        <v>0</v>
      </c>
      <c r="BA17" s="8">
        <v>871070</v>
      </c>
      <c r="BB17" s="8">
        <v>0</v>
      </c>
      <c r="BC17" s="8">
        <v>0</v>
      </c>
      <c r="BD17" s="8">
        <v>0</v>
      </c>
      <c r="BE17" s="8">
        <v>294366</v>
      </c>
      <c r="BF17" s="8">
        <v>0</v>
      </c>
      <c r="BG17" s="8">
        <v>32789</v>
      </c>
      <c r="BH17" s="8">
        <v>0</v>
      </c>
      <c r="BI17" s="8">
        <v>290347</v>
      </c>
      <c r="BJ17" s="8">
        <v>0</v>
      </c>
      <c r="BK17" s="8">
        <v>131653</v>
      </c>
      <c r="BL17" s="8">
        <v>0</v>
      </c>
      <c r="BM17" s="8">
        <v>579377</v>
      </c>
      <c r="BN17" s="8">
        <v>0</v>
      </c>
      <c r="BO17" s="8">
        <v>1015223</v>
      </c>
      <c r="BP17" s="8">
        <v>0</v>
      </c>
      <c r="BQ17" s="8">
        <v>1407740</v>
      </c>
      <c r="BR17" s="8">
        <v>8018672</v>
      </c>
      <c r="BS17" s="8">
        <v>293597</v>
      </c>
      <c r="BT17" s="8">
        <v>11900215</v>
      </c>
      <c r="BU17" s="170">
        <v>7636554</v>
      </c>
      <c r="BV17" s="174">
        <v>382118</v>
      </c>
      <c r="BW17" s="172">
        <v>4263661</v>
      </c>
    </row>
    <row r="18" spans="1:92" s="143" customFormat="1" x14ac:dyDescent="0.25">
      <c r="A18" s="5" t="s">
        <v>181</v>
      </c>
      <c r="B18" s="8">
        <f>'Adopted FY20 Budget Fund'!$C108</f>
        <v>415479</v>
      </c>
      <c r="C18" s="75" t="e">
        <f>#REF!</f>
        <v>#REF!</v>
      </c>
      <c r="D18" s="182" t="e">
        <f>(C18-B18)/B18</f>
        <v>#REF!</v>
      </c>
      <c r="E18" s="8">
        <f>'Adopted FY20 Budget Fund'!$D108</f>
        <v>50630</v>
      </c>
      <c r="F18" s="75" t="e">
        <f>#REF!</f>
        <v>#REF!</v>
      </c>
      <c r="G18" s="182" t="e">
        <f t="shared" ref="G18:G26" si="0">(F18-E18)/E18</f>
        <v>#REF!</v>
      </c>
      <c r="H18" s="8">
        <f>'Adopted FY20 Budget Fund'!$E108</f>
        <v>11000</v>
      </c>
      <c r="I18" s="75" t="e">
        <f>#REF!</f>
        <v>#REF!</v>
      </c>
      <c r="J18" s="182" t="e">
        <f t="shared" ref="J18:J26" si="1">(I18-H18)/H18</f>
        <v>#REF!</v>
      </c>
      <c r="K18" s="8">
        <f>'Adopted FY20 Budget Fund'!$F108</f>
        <v>435770</v>
      </c>
      <c r="L18" s="75" t="e">
        <f>#REF!</f>
        <v>#REF!</v>
      </c>
      <c r="M18" s="182" t="e">
        <f t="shared" ref="M18:M26" si="2">(L18-K18)/K18</f>
        <v>#REF!</v>
      </c>
      <c r="N18" s="8">
        <f>'Adopted FY20 Budget Fund'!$G108</f>
        <v>306500</v>
      </c>
      <c r="O18" s="75" t="e">
        <f>#REF!</f>
        <v>#REF!</v>
      </c>
      <c r="P18" s="182" t="e">
        <f>(O18-N18)/N18</f>
        <v>#REF!</v>
      </c>
      <c r="Q18" s="8">
        <f>'Adopted FY20 Budget Fund'!$H108</f>
        <v>413219</v>
      </c>
      <c r="R18" s="75" t="e">
        <f>#REF!</f>
        <v>#REF!</v>
      </c>
      <c r="S18" s="182" t="e">
        <f t="shared" ref="S18:S26" si="3">(R18-Q18)/Q18</f>
        <v>#REF!</v>
      </c>
      <c r="T18" s="8">
        <f>'Adopted FY20 Budget Fund'!$I108</f>
        <v>45066</v>
      </c>
      <c r="U18" s="75" t="e">
        <f>#REF!</f>
        <v>#REF!</v>
      </c>
      <c r="V18" s="182" t="e">
        <f>(U18-T18)/T18</f>
        <v>#REF!</v>
      </c>
      <c r="W18" s="8">
        <f>'Adopted FY20 Budget Fund'!$J108</f>
        <v>45600</v>
      </c>
      <c r="X18" s="75" t="e">
        <f>#REF!</f>
        <v>#REF!</v>
      </c>
      <c r="Y18" s="182" t="e">
        <f>(X18-W18)/W18</f>
        <v>#REF!</v>
      </c>
      <c r="Z18" s="8">
        <f>'Adopted FY20 Budget Fund'!$K108</f>
        <v>244296</v>
      </c>
      <c r="AA18" s="75" t="e">
        <f>#REF!</f>
        <v>#REF!</v>
      </c>
      <c r="AB18" s="182" t="e">
        <f t="shared" ref="AB18:AB26" si="4">(AA18-Z18)/Z18</f>
        <v>#REF!</v>
      </c>
      <c r="AC18" s="8">
        <f t="shared" ref="AC18:AD25" si="5">Z18+W18+T18+Q18+N18+K18+H18+E18+B18</f>
        <v>1967560</v>
      </c>
      <c r="AD18" s="8" t="e">
        <f t="shared" si="5"/>
        <v>#REF!</v>
      </c>
      <c r="AE18" s="182" t="e">
        <f t="shared" ref="AE18:AE26" si="6">(AD18-AC18)/AC18</f>
        <v>#REF!</v>
      </c>
      <c r="AR18" s="8">
        <v>713714</v>
      </c>
      <c r="AS18" s="8">
        <v>357473</v>
      </c>
      <c r="AT18" s="8">
        <v>0</v>
      </c>
      <c r="AU18" s="8">
        <v>0</v>
      </c>
      <c r="AV18" s="8">
        <v>38207</v>
      </c>
      <c r="AW18" s="8">
        <v>8659</v>
      </c>
      <c r="AX18" s="8">
        <v>0</v>
      </c>
      <c r="AY18" s="8">
        <v>0</v>
      </c>
      <c r="AZ18" s="8">
        <v>28073</v>
      </c>
      <c r="BA18" s="8">
        <v>6360</v>
      </c>
      <c r="BB18" s="8">
        <v>0</v>
      </c>
      <c r="BC18" s="8">
        <v>0</v>
      </c>
      <c r="BD18" s="8">
        <v>50248</v>
      </c>
      <c r="BE18" s="8">
        <v>1826</v>
      </c>
      <c r="BF18" s="8">
        <v>6333</v>
      </c>
      <c r="BG18" s="8">
        <v>231</v>
      </c>
      <c r="BH18" s="8">
        <v>58539</v>
      </c>
      <c r="BI18" s="8">
        <v>1246</v>
      </c>
      <c r="BJ18" s="8">
        <v>8160</v>
      </c>
      <c r="BK18" s="8">
        <v>1911</v>
      </c>
      <c r="BL18" s="8">
        <v>98064</v>
      </c>
      <c r="BM18" s="8">
        <v>0</v>
      </c>
      <c r="BN18" s="8">
        <v>0</v>
      </c>
      <c r="BO18" s="35">
        <v>0</v>
      </c>
      <c r="BP18" s="8">
        <v>256980</v>
      </c>
      <c r="BQ18" s="8">
        <v>13500</v>
      </c>
      <c r="BR18" s="8">
        <v>1658537</v>
      </c>
      <c r="BS18" s="8">
        <v>479026</v>
      </c>
      <c r="BT18" s="8">
        <v>5430011</v>
      </c>
      <c r="BU18" s="170">
        <v>400219</v>
      </c>
      <c r="BV18" s="174">
        <v>1258318</v>
      </c>
      <c r="BW18" s="172">
        <v>5029792</v>
      </c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</row>
    <row r="19" spans="1:92" s="143" customFormat="1" x14ac:dyDescent="0.25">
      <c r="A19" s="5" t="s">
        <v>182</v>
      </c>
      <c r="B19" s="8">
        <f>'Adopted FY20 Budget Fund'!$C109</f>
        <v>0</v>
      </c>
      <c r="C19" s="75" t="e">
        <f>#REF!</f>
        <v>#REF!</v>
      </c>
      <c r="D19" s="182"/>
      <c r="E19" s="8">
        <f>'Adopted FY20 Budget Fund'!$D109</f>
        <v>24700</v>
      </c>
      <c r="F19" s="75" t="e">
        <f>#REF!</f>
        <v>#REF!</v>
      </c>
      <c r="G19" s="182" t="e">
        <f t="shared" si="0"/>
        <v>#REF!</v>
      </c>
      <c r="H19" s="8">
        <f>'Adopted FY20 Budget Fund'!$E109</f>
        <v>500</v>
      </c>
      <c r="I19" s="75" t="e">
        <f>#REF!</f>
        <v>#REF!</v>
      </c>
      <c r="J19" s="182" t="e">
        <f t="shared" si="1"/>
        <v>#REF!</v>
      </c>
      <c r="K19" s="8">
        <f>'Adopted FY20 Budget Fund'!$F109</f>
        <v>2000</v>
      </c>
      <c r="L19" s="75" t="e">
        <f>#REF!</f>
        <v>#REF!</v>
      </c>
      <c r="M19" s="182"/>
      <c r="N19" s="8">
        <f>'Adopted FY20 Budget Fund'!$G109</f>
        <v>0</v>
      </c>
      <c r="O19" s="75" t="e">
        <f>#REF!</f>
        <v>#REF!</v>
      </c>
      <c r="P19" s="182"/>
      <c r="Q19" s="8">
        <f>'Adopted FY20 Budget Fund'!$H109</f>
        <v>39200</v>
      </c>
      <c r="R19" s="75" t="e">
        <f>#REF!</f>
        <v>#REF!</v>
      </c>
      <c r="S19" s="182" t="e">
        <f t="shared" si="3"/>
        <v>#REF!</v>
      </c>
      <c r="T19" s="8">
        <f>'Adopted FY20 Budget Fund'!$I109</f>
        <v>0</v>
      </c>
      <c r="U19" s="75" t="e">
        <f>#REF!</f>
        <v>#REF!</v>
      </c>
      <c r="V19" s="182"/>
      <c r="W19" s="8">
        <f>'Adopted FY20 Budget Fund'!$J109</f>
        <v>0</v>
      </c>
      <c r="X19" s="75" t="e">
        <f>#REF!</f>
        <v>#REF!</v>
      </c>
      <c r="Y19" s="182"/>
      <c r="Z19" s="8">
        <f>'Adopted FY20 Budget Fund'!$K109</f>
        <v>47200</v>
      </c>
      <c r="AA19" s="75" t="e">
        <f>#REF!</f>
        <v>#REF!</v>
      </c>
      <c r="AB19" s="182" t="e">
        <f t="shared" si="4"/>
        <v>#REF!</v>
      </c>
      <c r="AC19" s="8">
        <f t="shared" si="5"/>
        <v>113600</v>
      </c>
      <c r="AD19" s="8" t="e">
        <f t="shared" si="5"/>
        <v>#REF!</v>
      </c>
      <c r="AE19" s="182" t="e">
        <f t="shared" si="6"/>
        <v>#REF!</v>
      </c>
      <c r="AR19" s="8">
        <v>25569</v>
      </c>
      <c r="AS19" s="8">
        <v>3293</v>
      </c>
      <c r="AT19" s="8">
        <v>0</v>
      </c>
      <c r="AU19" s="8">
        <v>0</v>
      </c>
      <c r="AV19" s="8">
        <v>283023</v>
      </c>
      <c r="AW19" s="8">
        <v>0</v>
      </c>
      <c r="AX19" s="8">
        <v>0</v>
      </c>
      <c r="AY19" s="8">
        <v>0</v>
      </c>
      <c r="AZ19" s="8">
        <v>156428</v>
      </c>
      <c r="BA19" s="8">
        <v>0</v>
      </c>
      <c r="BB19" s="8">
        <v>0</v>
      </c>
      <c r="BC19" s="8">
        <v>0</v>
      </c>
      <c r="BD19" s="8">
        <v>51497</v>
      </c>
      <c r="BE19" s="8">
        <v>0</v>
      </c>
      <c r="BF19" s="8">
        <v>5940</v>
      </c>
      <c r="BG19" s="8">
        <v>0</v>
      </c>
      <c r="BH19" s="8">
        <v>99048</v>
      </c>
      <c r="BI19" s="8">
        <v>0</v>
      </c>
      <c r="BJ19" s="8">
        <v>46787</v>
      </c>
      <c r="BK19" s="8">
        <v>0</v>
      </c>
      <c r="BL19" s="8">
        <v>11400</v>
      </c>
      <c r="BM19" s="8">
        <v>0</v>
      </c>
      <c r="BN19" s="8">
        <v>21600</v>
      </c>
      <c r="BO19" s="35">
        <v>0</v>
      </c>
      <c r="BP19" s="8">
        <v>724707</v>
      </c>
      <c r="BQ19" s="8">
        <v>0</v>
      </c>
      <c r="BR19" s="8">
        <v>1731462</v>
      </c>
      <c r="BS19" s="8">
        <v>1022300</v>
      </c>
      <c r="BT19" s="8">
        <v>2861812</v>
      </c>
      <c r="BU19" s="170">
        <v>3293</v>
      </c>
      <c r="BV19" s="174">
        <v>1728169</v>
      </c>
      <c r="BW19" s="172">
        <v>2858519</v>
      </c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</row>
    <row r="20" spans="1:92" s="143" customFormat="1" x14ac:dyDescent="0.25">
      <c r="A20" s="5" t="s">
        <v>130</v>
      </c>
      <c r="B20" s="8">
        <f>'Adopted FY20 Budget Fund'!$C110</f>
        <v>0</v>
      </c>
      <c r="C20" s="75" t="e">
        <f>#REF!</f>
        <v>#REF!</v>
      </c>
      <c r="D20" s="182"/>
      <c r="E20" s="8">
        <f>'Adopted FY20 Budget Fund'!$D110</f>
        <v>24800</v>
      </c>
      <c r="F20" s="75" t="e">
        <f>#REF!</f>
        <v>#REF!</v>
      </c>
      <c r="G20" s="182" t="e">
        <f t="shared" si="0"/>
        <v>#REF!</v>
      </c>
      <c r="H20" s="8">
        <f>'Adopted FY20 Budget Fund'!$E110</f>
        <v>0</v>
      </c>
      <c r="I20" s="75" t="e">
        <f>#REF!</f>
        <v>#REF!</v>
      </c>
      <c r="J20" s="182"/>
      <c r="K20" s="8">
        <f>'Adopted FY20 Budget Fund'!$F110</f>
        <v>0</v>
      </c>
      <c r="L20" s="75" t="e">
        <f>#REF!</f>
        <v>#REF!</v>
      </c>
      <c r="M20" s="182"/>
      <c r="N20" s="8">
        <f>'Adopted FY20 Budget Fund'!$G110</f>
        <v>0</v>
      </c>
      <c r="O20" s="75" t="e">
        <f>#REF!</f>
        <v>#REF!</v>
      </c>
      <c r="P20" s="182"/>
      <c r="Q20" s="8">
        <f>'Adopted FY20 Budget Fund'!$H110</f>
        <v>0</v>
      </c>
      <c r="R20" s="75" t="e">
        <f>#REF!</f>
        <v>#REF!</v>
      </c>
      <c r="S20" s="182"/>
      <c r="T20" s="8">
        <f>'Adopted FY20 Budget Fund'!$I110</f>
        <v>12000</v>
      </c>
      <c r="U20" s="75" t="e">
        <f>#REF!</f>
        <v>#REF!</v>
      </c>
      <c r="V20" s="182"/>
      <c r="W20" s="8">
        <f>'Adopted FY20 Budget Fund'!$J110</f>
        <v>0</v>
      </c>
      <c r="X20" s="75" t="e">
        <f>#REF!</f>
        <v>#REF!</v>
      </c>
      <c r="Y20" s="182"/>
      <c r="Z20" s="8">
        <f>'Adopted FY20 Budget Fund'!$K110</f>
        <v>0</v>
      </c>
      <c r="AA20" s="75" t="e">
        <f>#REF!</f>
        <v>#REF!</v>
      </c>
      <c r="AB20" s="182"/>
      <c r="AC20" s="8">
        <f t="shared" si="5"/>
        <v>36800</v>
      </c>
      <c r="AD20" s="8" t="e">
        <f t="shared" si="5"/>
        <v>#REF!</v>
      </c>
      <c r="AE20" s="182" t="e">
        <f t="shared" si="6"/>
        <v>#REF!</v>
      </c>
      <c r="AR20" s="8">
        <v>150300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12375</v>
      </c>
      <c r="BE20" s="8">
        <v>0</v>
      </c>
      <c r="BF20" s="8">
        <v>1556</v>
      </c>
      <c r="BG20" s="8">
        <v>0</v>
      </c>
      <c r="BH20" s="8">
        <v>8603</v>
      </c>
      <c r="BI20" s="8">
        <v>0</v>
      </c>
      <c r="BJ20" s="8">
        <v>0</v>
      </c>
      <c r="BK20" s="8">
        <v>0</v>
      </c>
      <c r="BL20" s="8">
        <v>21600</v>
      </c>
      <c r="BM20" s="8">
        <v>0</v>
      </c>
      <c r="BN20" s="8">
        <v>12000</v>
      </c>
      <c r="BO20" s="35">
        <v>0</v>
      </c>
      <c r="BP20" s="8">
        <v>0</v>
      </c>
      <c r="BQ20" s="8">
        <v>0</v>
      </c>
      <c r="BR20" s="8">
        <v>219442</v>
      </c>
      <c r="BS20" s="8">
        <v>265768</v>
      </c>
      <c r="BT20" s="8">
        <v>508810</v>
      </c>
      <c r="BU20" s="170">
        <v>0</v>
      </c>
      <c r="BV20" s="174">
        <v>219442</v>
      </c>
      <c r="BW20" s="172">
        <v>508810</v>
      </c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</row>
    <row r="21" spans="1:92" s="143" customFormat="1" x14ac:dyDescent="0.25">
      <c r="A21" s="5" t="s">
        <v>131</v>
      </c>
      <c r="B21" s="8">
        <f>'Adopted FY20 Budget Fund'!$C111</f>
        <v>0</v>
      </c>
      <c r="C21" s="75" t="e">
        <f>#REF!</f>
        <v>#REF!</v>
      </c>
      <c r="D21" s="182"/>
      <c r="E21" s="8">
        <f>'Adopted FY20 Budget Fund'!$D111</f>
        <v>0</v>
      </c>
      <c r="F21" s="75" t="e">
        <f>#REF!</f>
        <v>#REF!</v>
      </c>
      <c r="G21" s="182"/>
      <c r="H21" s="8">
        <f>'Adopted FY20 Budget Fund'!$E111</f>
        <v>0</v>
      </c>
      <c r="I21" s="75" t="e">
        <f>#REF!</f>
        <v>#REF!</v>
      </c>
      <c r="J21" s="182"/>
      <c r="K21" s="8">
        <f>'Adopted FY20 Budget Fund'!$F111</f>
        <v>13320</v>
      </c>
      <c r="L21" s="75" t="e">
        <f>#REF!</f>
        <v>#REF!</v>
      </c>
      <c r="M21" s="182" t="e">
        <f t="shared" si="2"/>
        <v>#REF!</v>
      </c>
      <c r="N21" s="8">
        <f>'Adopted FY20 Budget Fund'!$G111</f>
        <v>0</v>
      </c>
      <c r="O21" s="75" t="e">
        <f>#REF!</f>
        <v>#REF!</v>
      </c>
      <c r="P21" s="182"/>
      <c r="Q21" s="8">
        <f>'Adopted FY20 Budget Fund'!$H111</f>
        <v>0</v>
      </c>
      <c r="R21" s="75" t="e">
        <f>#REF!</f>
        <v>#REF!</v>
      </c>
      <c r="S21" s="182"/>
      <c r="T21" s="8">
        <f>'Adopted FY20 Budget Fund'!$I111</f>
        <v>0</v>
      </c>
      <c r="U21" s="75" t="e">
        <f>#REF!</f>
        <v>#REF!</v>
      </c>
      <c r="V21" s="182"/>
      <c r="W21" s="8">
        <f>'Adopted FY20 Budget Fund'!$J111</f>
        <v>0</v>
      </c>
      <c r="X21" s="75" t="e">
        <f>#REF!</f>
        <v>#REF!</v>
      </c>
      <c r="Y21" s="182"/>
      <c r="Z21" s="8">
        <f>'Adopted FY20 Budget Fund'!$K111</f>
        <v>0</v>
      </c>
      <c r="AA21" s="75" t="e">
        <f>#REF!</f>
        <v>#REF!</v>
      </c>
      <c r="AB21" s="182"/>
      <c r="AC21" s="8">
        <f t="shared" si="5"/>
        <v>13320</v>
      </c>
      <c r="AD21" s="8" t="e">
        <f t="shared" si="5"/>
        <v>#REF!</v>
      </c>
      <c r="AE21" s="182" t="e">
        <f t="shared" si="6"/>
        <v>#REF!</v>
      </c>
      <c r="AR21" s="8">
        <v>0</v>
      </c>
      <c r="AS21" s="8">
        <v>336</v>
      </c>
      <c r="AT21" s="8">
        <v>0</v>
      </c>
      <c r="AU21" s="8">
        <v>0</v>
      </c>
      <c r="AV21" s="8">
        <v>92832</v>
      </c>
      <c r="AW21" s="8">
        <v>30024</v>
      </c>
      <c r="AX21" s="8">
        <v>0</v>
      </c>
      <c r="AY21" s="8">
        <v>0</v>
      </c>
      <c r="AZ21" s="8">
        <v>56340</v>
      </c>
      <c r="BA21" s="8">
        <v>15876</v>
      </c>
      <c r="BB21" s="8">
        <v>0</v>
      </c>
      <c r="BC21" s="8">
        <v>0</v>
      </c>
      <c r="BD21" s="8">
        <v>28140</v>
      </c>
      <c r="BE21" s="8">
        <v>8928</v>
      </c>
      <c r="BF21" s="8">
        <v>3372</v>
      </c>
      <c r="BG21" s="8">
        <v>996</v>
      </c>
      <c r="BH21" s="8">
        <v>16860</v>
      </c>
      <c r="BI21" s="8">
        <v>8808</v>
      </c>
      <c r="BJ21" s="8">
        <v>0</v>
      </c>
      <c r="BK21" s="8">
        <v>3996</v>
      </c>
      <c r="BL21" s="8">
        <v>0</v>
      </c>
      <c r="BM21" s="8">
        <v>492</v>
      </c>
      <c r="BN21" s="8">
        <v>1980</v>
      </c>
      <c r="BO21" s="35">
        <v>588</v>
      </c>
      <c r="BP21" s="8">
        <v>21504</v>
      </c>
      <c r="BQ21" s="8">
        <v>12180</v>
      </c>
      <c r="BR21" s="8">
        <v>452765</v>
      </c>
      <c r="BS21" s="8">
        <v>1338961</v>
      </c>
      <c r="BT21" s="8">
        <v>1805514</v>
      </c>
      <c r="BU21" s="170">
        <v>119802</v>
      </c>
      <c r="BV21" s="174">
        <v>332963</v>
      </c>
      <c r="BW21" s="172">
        <v>1685712</v>
      </c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</row>
    <row r="22" spans="1:92" s="143" customFormat="1" x14ac:dyDescent="0.25">
      <c r="A22" s="5" t="s">
        <v>90</v>
      </c>
      <c r="B22" s="8">
        <f>'Adopted FY20 Budget Fund'!$C112</f>
        <v>0</v>
      </c>
      <c r="C22" s="75" t="e">
        <f>#REF!</f>
        <v>#REF!</v>
      </c>
      <c r="D22" s="182"/>
      <c r="E22" s="8">
        <f>'Adopted FY20 Budget Fund'!$D112</f>
        <v>0</v>
      </c>
      <c r="F22" s="75" t="e">
        <f>#REF!</f>
        <v>#REF!</v>
      </c>
      <c r="G22" s="182"/>
      <c r="H22" s="8">
        <f>'Adopted FY20 Budget Fund'!$E112</f>
        <v>0</v>
      </c>
      <c r="I22" s="75" t="e">
        <f>#REF!</f>
        <v>#REF!</v>
      </c>
      <c r="J22" s="182"/>
      <c r="K22" s="8">
        <f>'Adopted FY20 Budget Fund'!$F112</f>
        <v>0</v>
      </c>
      <c r="L22" s="75" t="e">
        <f>#REF!</f>
        <v>#REF!</v>
      </c>
      <c r="M22" s="182"/>
      <c r="N22" s="8">
        <f>'Adopted FY20 Budget Fund'!$G112</f>
        <v>0</v>
      </c>
      <c r="O22" s="75" t="e">
        <f>#REF!</f>
        <v>#REF!</v>
      </c>
      <c r="P22" s="182"/>
      <c r="Q22" s="8">
        <f>'Adopted FY20 Budget Fund'!$H112</f>
        <v>0</v>
      </c>
      <c r="R22" s="75" t="e">
        <f>#REF!</f>
        <v>#REF!</v>
      </c>
      <c r="S22" s="182"/>
      <c r="T22" s="8">
        <f>'Adopted FY20 Budget Fund'!$I112</f>
        <v>0</v>
      </c>
      <c r="U22" s="75" t="e">
        <f>#REF!</f>
        <v>#REF!</v>
      </c>
      <c r="V22" s="182"/>
      <c r="W22" s="8">
        <f>'Adopted FY20 Budget Fund'!$J112</f>
        <v>0</v>
      </c>
      <c r="X22" s="75" t="e">
        <f>#REF!</f>
        <v>#REF!</v>
      </c>
      <c r="Y22" s="182"/>
      <c r="Z22" s="8">
        <f>'Adopted FY20 Budget Fund'!$K112</f>
        <v>0</v>
      </c>
      <c r="AA22" s="75" t="e">
        <f>#REF!</f>
        <v>#REF!</v>
      </c>
      <c r="AB22" s="182"/>
      <c r="AC22" s="8">
        <f t="shared" si="5"/>
        <v>0</v>
      </c>
      <c r="AD22" s="8" t="e">
        <f t="shared" si="5"/>
        <v>#REF!</v>
      </c>
      <c r="AE22" s="182"/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24000</v>
      </c>
      <c r="BG22" s="8">
        <v>0</v>
      </c>
      <c r="BH22" s="8">
        <v>1200</v>
      </c>
      <c r="BI22" s="8">
        <v>0</v>
      </c>
      <c r="BJ22" s="8">
        <v>75000</v>
      </c>
      <c r="BK22" s="8">
        <v>0</v>
      </c>
      <c r="BL22" s="8">
        <v>0</v>
      </c>
      <c r="BM22" s="8">
        <v>0</v>
      </c>
      <c r="BN22" s="8">
        <v>0</v>
      </c>
      <c r="BO22" s="35">
        <v>0</v>
      </c>
      <c r="BP22" s="8">
        <v>0</v>
      </c>
      <c r="BQ22" s="8">
        <v>0</v>
      </c>
      <c r="BR22" s="8">
        <v>823514</v>
      </c>
      <c r="BS22" s="8">
        <v>10380143</v>
      </c>
      <c r="BT22" s="8">
        <v>11203657</v>
      </c>
      <c r="BU22" s="170">
        <v>0</v>
      </c>
      <c r="BV22" s="174">
        <v>823514</v>
      </c>
      <c r="BW22" s="172">
        <v>11203657</v>
      </c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</row>
    <row r="23" spans="1:92" s="143" customFormat="1" x14ac:dyDescent="0.25">
      <c r="A23" s="5" t="s">
        <v>132</v>
      </c>
      <c r="B23" s="8">
        <f>'Adopted FY20 Budget Fund'!$C113</f>
        <v>59840</v>
      </c>
      <c r="C23" s="75" t="e">
        <f>#REF!</f>
        <v>#REF!</v>
      </c>
      <c r="D23" s="182" t="e">
        <f>(C23-B23)/B23</f>
        <v>#REF!</v>
      </c>
      <c r="E23" s="8">
        <f>'Adopted FY20 Budget Fund'!$D113</f>
        <v>2250</v>
      </c>
      <c r="F23" s="75" t="e">
        <f>#REF!</f>
        <v>#REF!</v>
      </c>
      <c r="G23" s="182" t="e">
        <f t="shared" si="0"/>
        <v>#REF!</v>
      </c>
      <c r="H23" s="8">
        <f>'Adopted FY20 Budget Fund'!$E113</f>
        <v>28300</v>
      </c>
      <c r="I23" s="75" t="e">
        <f>#REF!</f>
        <v>#REF!</v>
      </c>
      <c r="J23" s="182" t="e">
        <f t="shared" si="1"/>
        <v>#REF!</v>
      </c>
      <c r="K23" s="8">
        <f>'Adopted FY20 Budget Fund'!$F113</f>
        <v>61805</v>
      </c>
      <c r="L23" s="75" t="e">
        <f>#REF!</f>
        <v>#REF!</v>
      </c>
      <c r="M23" s="182" t="e">
        <f t="shared" si="2"/>
        <v>#REF!</v>
      </c>
      <c r="N23" s="8">
        <f>'Adopted FY20 Budget Fund'!$G113</f>
        <v>31850</v>
      </c>
      <c r="O23" s="75" t="e">
        <f>#REF!</f>
        <v>#REF!</v>
      </c>
      <c r="P23" s="182" t="e">
        <f>(O23-N23)/N23</f>
        <v>#REF!</v>
      </c>
      <c r="Q23" s="8">
        <f>'Adopted FY20 Budget Fund'!$H113</f>
        <v>28440</v>
      </c>
      <c r="R23" s="75" t="e">
        <f>#REF!</f>
        <v>#REF!</v>
      </c>
      <c r="S23" s="182" t="e">
        <f t="shared" si="3"/>
        <v>#REF!</v>
      </c>
      <c r="T23" s="8">
        <f>'Adopted FY20 Budget Fund'!$I113</f>
        <v>7000</v>
      </c>
      <c r="U23" s="75" t="e">
        <f>#REF!</f>
        <v>#REF!</v>
      </c>
      <c r="V23" s="182"/>
      <c r="W23" s="8">
        <f>'Adopted FY20 Budget Fund'!$J113</f>
        <v>36280</v>
      </c>
      <c r="X23" s="75" t="e">
        <f>#REF!</f>
        <v>#REF!</v>
      </c>
      <c r="Y23" s="182" t="e">
        <f>(X23-W23)/W23</f>
        <v>#REF!</v>
      </c>
      <c r="Z23" s="8">
        <f>'Adopted FY20 Budget Fund'!$K113</f>
        <v>16400</v>
      </c>
      <c r="AA23" s="75" t="e">
        <f>#REF!</f>
        <v>#REF!</v>
      </c>
      <c r="AB23" s="182" t="e">
        <f t="shared" si="4"/>
        <v>#REF!</v>
      </c>
      <c r="AC23" s="8">
        <f t="shared" si="5"/>
        <v>272165</v>
      </c>
      <c r="AD23" s="8" t="e">
        <f t="shared" si="5"/>
        <v>#REF!</v>
      </c>
      <c r="AE23" s="182" t="e">
        <f t="shared" si="6"/>
        <v>#REF!</v>
      </c>
      <c r="AR23" s="8">
        <v>0</v>
      </c>
      <c r="AS23" s="8">
        <v>19035</v>
      </c>
      <c r="AT23" s="8">
        <v>12440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4200</v>
      </c>
      <c r="BN23" s="8">
        <v>0</v>
      </c>
      <c r="BO23" s="35">
        <v>16200</v>
      </c>
      <c r="BP23" s="8">
        <v>60</v>
      </c>
      <c r="BQ23" s="8">
        <v>15000</v>
      </c>
      <c r="BR23" s="8">
        <v>74735</v>
      </c>
      <c r="BS23" s="8">
        <v>9300</v>
      </c>
      <c r="BT23" s="8">
        <v>296039</v>
      </c>
      <c r="BU23" s="170">
        <v>54435</v>
      </c>
      <c r="BV23" s="174">
        <v>20300</v>
      </c>
      <c r="BW23" s="172">
        <v>241604</v>
      </c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</row>
    <row r="24" spans="1:92" s="143" customFormat="1" x14ac:dyDescent="0.25">
      <c r="A24" s="5" t="s">
        <v>133</v>
      </c>
      <c r="B24" s="8">
        <f>'Adopted FY20 Budget Fund'!$C114</f>
        <v>0</v>
      </c>
      <c r="C24" s="75" t="e">
        <f>#REF!</f>
        <v>#REF!</v>
      </c>
      <c r="D24" s="182"/>
      <c r="E24" s="8">
        <f>'Adopted FY20 Budget Fund'!$D114</f>
        <v>122500</v>
      </c>
      <c r="F24" s="75" t="e">
        <f>#REF!</f>
        <v>#REF!</v>
      </c>
      <c r="G24" s="182" t="e">
        <f t="shared" si="0"/>
        <v>#REF!</v>
      </c>
      <c r="H24" s="8">
        <f>'Adopted FY20 Budget Fund'!$E114</f>
        <v>0</v>
      </c>
      <c r="I24" s="75" t="e">
        <f>#REF!</f>
        <v>#REF!</v>
      </c>
      <c r="J24" s="182"/>
      <c r="K24" s="8">
        <f>'Adopted FY20 Budget Fund'!$F114</f>
        <v>0</v>
      </c>
      <c r="L24" s="75" t="e">
        <f>#REF!</f>
        <v>#REF!</v>
      </c>
      <c r="M24" s="182"/>
      <c r="N24" s="8">
        <f>'Adopted FY20 Budget Fund'!$G114</f>
        <v>0</v>
      </c>
      <c r="O24" s="75" t="e">
        <f>#REF!</f>
        <v>#REF!</v>
      </c>
      <c r="P24" s="182"/>
      <c r="Q24" s="8">
        <f>'Adopted FY20 Budget Fund'!$H114</f>
        <v>3000</v>
      </c>
      <c r="R24" s="75" t="e">
        <f>#REF!</f>
        <v>#REF!</v>
      </c>
      <c r="S24" s="182" t="e">
        <f t="shared" si="3"/>
        <v>#REF!</v>
      </c>
      <c r="T24" s="8">
        <f>'Adopted FY20 Budget Fund'!$I114</f>
        <v>0</v>
      </c>
      <c r="U24" s="75" t="e">
        <f>#REF!</f>
        <v>#REF!</v>
      </c>
      <c r="V24" s="182"/>
      <c r="W24" s="8">
        <f>'Adopted FY20 Budget Fund'!$J114</f>
        <v>0</v>
      </c>
      <c r="X24" s="75" t="e">
        <f>#REF!</f>
        <v>#REF!</v>
      </c>
      <c r="Y24" s="182"/>
      <c r="Z24" s="8">
        <f>'Adopted FY20 Budget Fund'!$K114</f>
        <v>0</v>
      </c>
      <c r="AA24" s="75" t="e">
        <f>#REF!</f>
        <v>#REF!</v>
      </c>
      <c r="AB24" s="182"/>
      <c r="AC24" s="8">
        <f t="shared" si="5"/>
        <v>125500</v>
      </c>
      <c r="AD24" s="8" t="e">
        <f t="shared" si="5"/>
        <v>#REF!</v>
      </c>
      <c r="AE24" s="182" t="e">
        <f t="shared" si="6"/>
        <v>#REF!</v>
      </c>
      <c r="AR24" s="8">
        <v>2472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100516</v>
      </c>
      <c r="BK24" s="8">
        <v>0</v>
      </c>
      <c r="BL24" s="8">
        <v>1680</v>
      </c>
      <c r="BM24" s="8">
        <v>0</v>
      </c>
      <c r="BN24" s="8">
        <v>0</v>
      </c>
      <c r="BO24" s="35">
        <v>0</v>
      </c>
      <c r="BP24" s="8">
        <v>0</v>
      </c>
      <c r="BQ24" s="8">
        <v>0</v>
      </c>
      <c r="BR24" s="8">
        <v>104668</v>
      </c>
      <c r="BS24" s="8">
        <v>2400</v>
      </c>
      <c r="BT24" s="8">
        <v>238468</v>
      </c>
      <c r="BU24" s="170">
        <v>0</v>
      </c>
      <c r="BV24" s="174">
        <v>104668</v>
      </c>
      <c r="BW24" s="172">
        <v>238468</v>
      </c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</row>
    <row r="25" spans="1:92" s="143" customFormat="1" x14ac:dyDescent="0.25">
      <c r="A25" s="5" t="s">
        <v>134</v>
      </c>
      <c r="B25" s="8">
        <f>'Adopted FY20 Budget Fund'!$C115</f>
        <v>0</v>
      </c>
      <c r="C25" s="75" t="e">
        <f>#REF!</f>
        <v>#REF!</v>
      </c>
      <c r="D25" s="182"/>
      <c r="E25" s="8">
        <f>'Adopted FY20 Budget Fund'!$D115</f>
        <v>99536</v>
      </c>
      <c r="F25" s="75" t="e">
        <f>#REF!</f>
        <v>#REF!</v>
      </c>
      <c r="G25" s="182"/>
      <c r="H25" s="8">
        <f>'Adopted FY20 Budget Fund'!$E115</f>
        <v>0</v>
      </c>
      <c r="I25" s="75" t="e">
        <f>#REF!</f>
        <v>#REF!</v>
      </c>
      <c r="J25" s="182"/>
      <c r="K25" s="8">
        <f>'Adopted FY20 Budget Fund'!$F115</f>
        <v>0</v>
      </c>
      <c r="L25" s="75" t="e">
        <f>#REF!</f>
        <v>#REF!</v>
      </c>
      <c r="M25" s="182"/>
      <c r="N25" s="8">
        <f>'Adopted FY20 Budget Fund'!$G115</f>
        <v>0</v>
      </c>
      <c r="O25" s="75" t="e">
        <f>#REF!</f>
        <v>#REF!</v>
      </c>
      <c r="P25" s="182"/>
      <c r="Q25" s="8">
        <f>'Adopted FY20 Budget Fund'!$H115</f>
        <v>0</v>
      </c>
      <c r="R25" s="75" t="e">
        <f>#REF!</f>
        <v>#REF!</v>
      </c>
      <c r="S25" s="182"/>
      <c r="T25" s="8">
        <f>'Adopted FY20 Budget Fund'!$I115</f>
        <v>0</v>
      </c>
      <c r="U25" s="75" t="e">
        <f>#REF!</f>
        <v>#REF!</v>
      </c>
      <c r="V25" s="182"/>
      <c r="W25" s="8">
        <f>'Adopted FY20 Budget Fund'!$J115</f>
        <v>0</v>
      </c>
      <c r="X25" s="75" t="e">
        <f>#REF!</f>
        <v>#REF!</v>
      </c>
      <c r="Y25" s="182"/>
      <c r="Z25" s="8">
        <f>'Adopted FY20 Budget Fund'!$K115</f>
        <v>0</v>
      </c>
      <c r="AA25" s="75" t="e">
        <f>#REF!</f>
        <v>#REF!</v>
      </c>
      <c r="AB25" s="182"/>
      <c r="AC25" s="8">
        <f t="shared" si="5"/>
        <v>99536</v>
      </c>
      <c r="AD25" s="8" t="e">
        <f t="shared" si="5"/>
        <v>#REF!</v>
      </c>
      <c r="AE25" s="182"/>
      <c r="AR25" s="8">
        <v>1382069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35">
        <v>0</v>
      </c>
      <c r="BP25" s="8">
        <v>0</v>
      </c>
      <c r="BQ25" s="8">
        <v>0</v>
      </c>
      <c r="BR25" s="8">
        <v>1382069</v>
      </c>
      <c r="BS25" s="8">
        <v>9037306</v>
      </c>
      <c r="BT25" s="8">
        <v>10489375</v>
      </c>
      <c r="BU25" s="170">
        <v>0</v>
      </c>
      <c r="BV25" s="174">
        <v>1382069</v>
      </c>
      <c r="BW25" s="172">
        <v>10489375</v>
      </c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</row>
    <row r="26" spans="1:92" s="143" customFormat="1" ht="13.8" thickBot="1" x14ac:dyDescent="0.3">
      <c r="A26" s="188" t="s">
        <v>128</v>
      </c>
      <c r="B26" s="181">
        <f>SUM(B17:B25)</f>
        <v>846775</v>
      </c>
      <c r="C26" s="181" t="e">
        <f>SUM(C17:C25)</f>
        <v>#REF!</v>
      </c>
      <c r="D26" s="186" t="e">
        <f>(C26-B26)/B26</f>
        <v>#REF!</v>
      </c>
      <c r="E26" s="181">
        <f>SUM(E17:E25)</f>
        <v>452819</v>
      </c>
      <c r="F26" s="181" t="e">
        <f>SUM(F17:F25)</f>
        <v>#REF!</v>
      </c>
      <c r="G26" s="186" t="e">
        <f t="shared" si="0"/>
        <v>#REF!</v>
      </c>
      <c r="H26" s="181">
        <f>SUM(H17:H25)</f>
        <v>39800</v>
      </c>
      <c r="I26" s="181" t="e">
        <f>SUM(I17:I25)</f>
        <v>#REF!</v>
      </c>
      <c r="J26" s="186" t="e">
        <f t="shared" si="1"/>
        <v>#REF!</v>
      </c>
      <c r="K26" s="181">
        <f>SUM(K17:K25)</f>
        <v>1741010</v>
      </c>
      <c r="L26" s="181" t="e">
        <f>SUM(L17:L25)</f>
        <v>#REF!</v>
      </c>
      <c r="M26" s="186" t="e">
        <f t="shared" si="2"/>
        <v>#REF!</v>
      </c>
      <c r="N26" s="181">
        <f>SUM(N17:N25)</f>
        <v>1137332</v>
      </c>
      <c r="O26" s="181" t="e">
        <f>SUM(O17:O25)</f>
        <v>#REF!</v>
      </c>
      <c r="P26" s="186" t="e">
        <f>(O26-N26)/N26</f>
        <v>#REF!</v>
      </c>
      <c r="Q26" s="181">
        <f>SUM(Q17:Q25)</f>
        <v>1140919</v>
      </c>
      <c r="R26" s="181" t="e">
        <f>SUM(R17:R25)</f>
        <v>#REF!</v>
      </c>
      <c r="S26" s="186" t="e">
        <f t="shared" si="3"/>
        <v>#REF!</v>
      </c>
      <c r="T26" s="181">
        <f>SUM(T17:T25)</f>
        <v>257383</v>
      </c>
      <c r="U26" s="181" t="e">
        <f>SUM(U17:U25)</f>
        <v>#REF!</v>
      </c>
      <c r="V26" s="186" t="e">
        <f>(U26-T26)/T26</f>
        <v>#REF!</v>
      </c>
      <c r="W26" s="181">
        <f>SUM(W17:W25)</f>
        <v>212426</v>
      </c>
      <c r="X26" s="181" t="e">
        <f>SUM(X17:X25)</f>
        <v>#REF!</v>
      </c>
      <c r="Y26" s="186" t="e">
        <f>(X26-W26)/W26</f>
        <v>#REF!</v>
      </c>
      <c r="Z26" s="181">
        <f>SUM(Z17:Z25)</f>
        <v>591944</v>
      </c>
      <c r="AA26" s="181" t="e">
        <f>SUM(AA17:AA25)</f>
        <v>#REF!</v>
      </c>
      <c r="AB26" s="186" t="e">
        <f t="shared" si="4"/>
        <v>#REF!</v>
      </c>
      <c r="AC26" s="180">
        <f>SUM(AC17:AC25)</f>
        <v>6420408</v>
      </c>
      <c r="AD26" s="180" t="e">
        <f>SUM(AD17:AD25)</f>
        <v>#REF!</v>
      </c>
      <c r="AE26" s="186" t="e">
        <f t="shared" si="6"/>
        <v>#REF!</v>
      </c>
      <c r="AR26" s="176">
        <v>2274124</v>
      </c>
      <c r="AS26" s="176">
        <v>662702</v>
      </c>
      <c r="AT26" s="176">
        <v>394558</v>
      </c>
      <c r="AU26" s="176">
        <v>0</v>
      </c>
      <c r="AV26" s="176">
        <v>414062</v>
      </c>
      <c r="AW26" s="176">
        <v>1400820</v>
      </c>
      <c r="AX26" s="176">
        <v>0</v>
      </c>
      <c r="AY26" s="176">
        <v>0</v>
      </c>
      <c r="AZ26" s="176">
        <v>240841</v>
      </c>
      <c r="BA26" s="176">
        <v>893306</v>
      </c>
      <c r="BB26" s="176">
        <v>0</v>
      </c>
      <c r="BC26" s="176">
        <v>0</v>
      </c>
      <c r="BD26" s="176">
        <v>142260</v>
      </c>
      <c r="BE26" s="176">
        <v>305120</v>
      </c>
      <c r="BF26" s="176">
        <v>41201</v>
      </c>
      <c r="BG26" s="176">
        <v>34016</v>
      </c>
      <c r="BH26" s="176">
        <v>184250</v>
      </c>
      <c r="BI26" s="176">
        <v>300401</v>
      </c>
      <c r="BJ26" s="176">
        <v>230463</v>
      </c>
      <c r="BK26" s="176">
        <v>137560</v>
      </c>
      <c r="BL26" s="176">
        <v>132744</v>
      </c>
      <c r="BM26" s="176">
        <v>584069</v>
      </c>
      <c r="BN26" s="176">
        <v>35580</v>
      </c>
      <c r="BO26" s="177">
        <v>1032011</v>
      </c>
      <c r="BP26" s="176">
        <v>1003251</v>
      </c>
      <c r="BQ26" s="176">
        <v>1448420</v>
      </c>
      <c r="BR26" s="176">
        <v>14465864</v>
      </c>
      <c r="BS26" s="176">
        <v>22828801</v>
      </c>
      <c r="BT26" s="176">
        <v>44733901</v>
      </c>
      <c r="BU26" s="178">
        <v>8214303</v>
      </c>
      <c r="BV26" s="179">
        <v>6251561</v>
      </c>
      <c r="BW26" s="175">
        <v>36519598</v>
      </c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</row>
    <row r="27" spans="1:92" s="143" customFormat="1" ht="13.8" thickTop="1" x14ac:dyDescent="0.25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35"/>
      <c r="AR27" s="8"/>
      <c r="AS27" s="8"/>
      <c r="AT27" s="8"/>
      <c r="AU27" s="8"/>
      <c r="AV27" s="8"/>
      <c r="AW27" s="8"/>
      <c r="AX27" s="8"/>
      <c r="AY27" s="168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31" spans="1:92" ht="41.7" customHeight="1" x14ac:dyDescent="0.25">
      <c r="A31" s="187" t="s">
        <v>250</v>
      </c>
      <c r="B31" s="183" t="s">
        <v>272</v>
      </c>
      <c r="C31" s="183" t="s">
        <v>273</v>
      </c>
      <c r="D31" s="183" t="s">
        <v>214</v>
      </c>
      <c r="E31" s="183" t="s">
        <v>215</v>
      </c>
      <c r="F31" s="185" t="s">
        <v>248</v>
      </c>
      <c r="G31" s="183" t="s">
        <v>373</v>
      </c>
      <c r="H31" s="183" t="s">
        <v>374</v>
      </c>
      <c r="I31" s="183" t="s">
        <v>375</v>
      </c>
      <c r="J31" s="183" t="s">
        <v>376</v>
      </c>
      <c r="K31" s="185" t="s">
        <v>248</v>
      </c>
      <c r="L31" s="183" t="s">
        <v>276</v>
      </c>
      <c r="M31" s="183" t="s">
        <v>277</v>
      </c>
      <c r="N31" s="184" t="s">
        <v>216</v>
      </c>
      <c r="O31" s="184" t="s">
        <v>217</v>
      </c>
      <c r="P31" s="185" t="s">
        <v>248</v>
      </c>
      <c r="Q31" s="183" t="s">
        <v>278</v>
      </c>
      <c r="R31" s="183" t="s">
        <v>279</v>
      </c>
      <c r="S31" s="184" t="s">
        <v>218</v>
      </c>
      <c r="T31" s="184" t="s">
        <v>219</v>
      </c>
      <c r="U31" s="185" t="s">
        <v>248</v>
      </c>
      <c r="V31" s="183" t="s">
        <v>280</v>
      </c>
      <c r="W31" s="184" t="s">
        <v>220</v>
      </c>
      <c r="X31" s="185" t="s">
        <v>248</v>
      </c>
      <c r="Y31" s="183" t="s">
        <v>370</v>
      </c>
      <c r="Z31" s="183" t="s">
        <v>252</v>
      </c>
      <c r="AA31" s="185" t="s">
        <v>248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92" s="200" customFormat="1" x14ac:dyDescent="0.25">
      <c r="A32" s="195" t="s">
        <v>37</v>
      </c>
      <c r="B32" s="196">
        <f>'Adopted FY20 Budget Fund'!$N2</f>
        <v>0</v>
      </c>
      <c r="C32" s="196">
        <f>'Adopted FY20 Budget Fund'!$O2</f>
        <v>0</v>
      </c>
      <c r="D32" s="196" t="e">
        <f>#REF!</f>
        <v>#REF!</v>
      </c>
      <c r="E32" s="196" t="e">
        <f>#REF!</f>
        <v>#REF!</v>
      </c>
      <c r="F32" s="201"/>
      <c r="G32" s="196">
        <f>'Adopted FY20 Budget Fund'!$P2</f>
        <v>0</v>
      </c>
      <c r="H32" s="196">
        <f>'Adopted FY20 Budget Fund'!$Q2</f>
        <v>0</v>
      </c>
      <c r="I32" s="196" t="e">
        <f>#REF!</f>
        <v>#REF!</v>
      </c>
      <c r="J32" s="196" t="e">
        <f>#REF!</f>
        <v>#REF!</v>
      </c>
      <c r="K32" s="201"/>
      <c r="L32" s="196">
        <f>'Adopted FY20 Budget Fund'!$R2</f>
        <v>6210</v>
      </c>
      <c r="M32" s="196">
        <f>'Adopted FY20 Budget Fund'!$S2</f>
        <v>0</v>
      </c>
      <c r="N32" s="196" t="e">
        <f>#REF!</f>
        <v>#REF!</v>
      </c>
      <c r="O32" s="196" t="e">
        <f>#REF!</f>
        <v>#REF!</v>
      </c>
      <c r="P32" s="201" t="e">
        <f>(SUM(N32,O32)-SUM(M32,L32))/SUM(M32,L32)</f>
        <v>#REF!</v>
      </c>
      <c r="Q32" s="196">
        <f>'Adopted FY20 Budget Fund'!$T2</f>
        <v>4468</v>
      </c>
      <c r="R32" s="196">
        <f>'Adopted FY20 Budget Fund'!$U2</f>
        <v>0</v>
      </c>
      <c r="S32" s="196" t="e">
        <f>#REF!</f>
        <v>#REF!</v>
      </c>
      <c r="T32" s="196" t="e">
        <f>#REF!</f>
        <v>#REF!</v>
      </c>
      <c r="U32" s="201" t="e">
        <f>(SUM(S32,T32)-SUM(R32,Q32))/SUM(R32,Q32)</f>
        <v>#REF!</v>
      </c>
      <c r="V32" s="196">
        <f>'Adopted FY20 Budget Fund'!$V2</f>
        <v>0</v>
      </c>
      <c r="W32" s="198" t="e">
        <f>#REF!</f>
        <v>#REF!</v>
      </c>
      <c r="X32" s="201"/>
      <c r="Y32" s="196">
        <f>+V32+R32+Q32+M32+L32+C32+B32+G32+H32</f>
        <v>10678</v>
      </c>
      <c r="Z32" s="196" t="e">
        <f>+W32+T32+S32+O32+N32+E32+D32</f>
        <v>#REF!</v>
      </c>
      <c r="AA32" s="201" t="e">
        <f>(Z32-Y32)/Y32</f>
        <v>#REF!</v>
      </c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</row>
    <row r="33" spans="1:60" s="200" customFormat="1" x14ac:dyDescent="0.25">
      <c r="A33" s="195" t="s">
        <v>38</v>
      </c>
      <c r="B33" s="196">
        <f>'Adopted FY20 Budget Fund'!$N3</f>
        <v>3385238</v>
      </c>
      <c r="C33" s="196">
        <f>'Adopted FY20 Budget Fund'!$O3</f>
        <v>0</v>
      </c>
      <c r="D33" s="196" t="e">
        <f>#REF!</f>
        <v>#REF!</v>
      </c>
      <c r="E33" s="196" t="e">
        <f>#REF!</f>
        <v>#REF!</v>
      </c>
      <c r="F33" s="201" t="e">
        <f>(SUM(D33,E33)-SUM(C33,B33))/SUM(C33,B33)</f>
        <v>#REF!</v>
      </c>
      <c r="G33" s="196">
        <f>'Adopted FY20 Budget Fund'!$P3</f>
        <v>269534</v>
      </c>
      <c r="H33" s="196">
        <f>'Adopted FY20 Budget Fund'!$Q3</f>
        <v>0</v>
      </c>
      <c r="I33" s="196" t="e">
        <f>#REF!</f>
        <v>#REF!</v>
      </c>
      <c r="J33" s="196" t="e">
        <f>#REF!</f>
        <v>#REF!</v>
      </c>
      <c r="K33" s="201" t="e">
        <f>(SUM(I33,J33)-SUM(H33,G33))/SUM(H33,G33)</f>
        <v>#REF!</v>
      </c>
      <c r="L33" s="196">
        <f>'Adopted FY20 Budget Fund'!$R3</f>
        <v>318790</v>
      </c>
      <c r="M33" s="196">
        <f>'Adopted FY20 Budget Fund'!$S3</f>
        <v>0</v>
      </c>
      <c r="N33" s="196" t="e">
        <f>#REF!</f>
        <v>#REF!</v>
      </c>
      <c r="O33" s="196" t="e">
        <f>#REF!</f>
        <v>#REF!</v>
      </c>
      <c r="P33" s="201" t="e">
        <f>(SUM(N33,O33)-SUM(M33,L33))/SUM(M33,L33)</f>
        <v>#REF!</v>
      </c>
      <c r="Q33" s="196">
        <f>'Adopted FY20 Budget Fund'!$T3</f>
        <v>220598</v>
      </c>
      <c r="R33" s="196">
        <f>'Adopted FY20 Budget Fund'!$U3</f>
        <v>0</v>
      </c>
      <c r="S33" s="196" t="e">
        <f>#REF!</f>
        <v>#REF!</v>
      </c>
      <c r="T33" s="196" t="e">
        <f>#REF!</f>
        <v>#REF!</v>
      </c>
      <c r="U33" s="201" t="e">
        <f>(SUM(S33,T33)-SUM(R33,Q33))/SUM(R33,Q33)</f>
        <v>#REF!</v>
      </c>
      <c r="V33" s="196">
        <f>'Adopted FY20 Budget Fund'!$V3</f>
        <v>90000</v>
      </c>
      <c r="W33" s="198" t="e">
        <f>#REF!</f>
        <v>#REF!</v>
      </c>
      <c r="X33" s="201" t="e">
        <f>(W33-V33)/V33</f>
        <v>#REF!</v>
      </c>
      <c r="Y33" s="196">
        <f>+V33+R33+Q33+M33+L33+C33+B33+G33+H33</f>
        <v>4284160</v>
      </c>
      <c r="Z33" s="196" t="e">
        <f>+W33+T33+S33+O33+N33+E33+D33</f>
        <v>#REF!</v>
      </c>
      <c r="AA33" s="201" t="e">
        <f>(Z33-Y33)/Y33</f>
        <v>#REF!</v>
      </c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</row>
    <row r="34" spans="1:60" ht="13.8" thickBot="1" x14ac:dyDescent="0.3">
      <c r="A34" s="188" t="s">
        <v>39</v>
      </c>
      <c r="B34" s="180">
        <f>SUM(B32:B33)</f>
        <v>3385238</v>
      </c>
      <c r="C34" s="180">
        <f>SUM(C32:C33)</f>
        <v>0</v>
      </c>
      <c r="D34" s="180" t="e">
        <f>SUM(D32:D33)</f>
        <v>#REF!</v>
      </c>
      <c r="E34" s="180" t="e">
        <f>SUM(E32:E33)</f>
        <v>#REF!</v>
      </c>
      <c r="F34" s="186" t="e">
        <f>(SUM(D34,E34)-SUM(C34,B34))/SUM(C34,B34)</f>
        <v>#REF!</v>
      </c>
      <c r="G34" s="180">
        <f>SUM(G32:G33)</f>
        <v>269534</v>
      </c>
      <c r="H34" s="180">
        <f>SUM(H32:H33)</f>
        <v>0</v>
      </c>
      <c r="I34" s="180" t="e">
        <f>SUM(I32:I33)</f>
        <v>#REF!</v>
      </c>
      <c r="J34" s="180" t="e">
        <f>SUM(J32:J33)</f>
        <v>#REF!</v>
      </c>
      <c r="K34" s="186" t="e">
        <f>(SUM(I34,J34)-SUM(H34,G34))/SUM(H34,G34)</f>
        <v>#REF!</v>
      </c>
      <c r="L34" s="180">
        <f>SUM(L32:L33)</f>
        <v>325000</v>
      </c>
      <c r="M34" s="180">
        <f>SUM(M32:M33)</f>
        <v>0</v>
      </c>
      <c r="N34" s="180" t="e">
        <f>SUM(N32:N33)</f>
        <v>#REF!</v>
      </c>
      <c r="O34" s="180" t="e">
        <f>SUM(O32:O33)</f>
        <v>#REF!</v>
      </c>
      <c r="P34" s="202" t="e">
        <f>(SUM(N34,O34)-SUM(M34,L34))/SUM(M34,L34)</f>
        <v>#REF!</v>
      </c>
      <c r="Q34" s="180">
        <f>SUM(Q32:Q33)</f>
        <v>225066</v>
      </c>
      <c r="R34" s="180">
        <f>SUM(R32:R33)</f>
        <v>0</v>
      </c>
      <c r="S34" s="180" t="e">
        <f>SUM(S32:S33)</f>
        <v>#REF!</v>
      </c>
      <c r="T34" s="180" t="e">
        <f>SUM(T32:T33)</f>
        <v>#REF!</v>
      </c>
      <c r="U34" s="202" t="e">
        <f>(SUM(S34,T34)-SUM(R34,Q34))/SUM(R34,Q34)</f>
        <v>#REF!</v>
      </c>
      <c r="V34" s="180">
        <f>SUM(V32:V33)</f>
        <v>90000</v>
      </c>
      <c r="W34" s="180" t="e">
        <f>SUM(W32:W33)</f>
        <v>#REF!</v>
      </c>
      <c r="X34" s="202" t="e">
        <f>(W34-V34)/V34</f>
        <v>#REF!</v>
      </c>
      <c r="Y34" s="180">
        <f>SUM(Y32:Y33)</f>
        <v>4294838</v>
      </c>
      <c r="Z34" s="180" t="e">
        <f>SUM(Z32:Z33)</f>
        <v>#REF!</v>
      </c>
      <c r="AA34" s="202" t="e">
        <f>(Z34-Y34)/Y34</f>
        <v>#REF!</v>
      </c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s="71" customFormat="1" ht="16.2" thickTop="1" x14ac:dyDescent="0.25">
      <c r="A35" s="191"/>
      <c r="B35" s="192"/>
      <c r="C35" s="192"/>
      <c r="D35" s="192"/>
      <c r="E35" s="192"/>
      <c r="F35" s="194"/>
      <c r="G35" s="192"/>
      <c r="H35" s="192"/>
      <c r="I35" s="192"/>
      <c r="J35" s="192"/>
      <c r="K35" s="194"/>
      <c r="L35" s="192"/>
      <c r="M35" s="192"/>
      <c r="N35" s="192"/>
      <c r="O35" s="192"/>
      <c r="P35" s="194"/>
      <c r="Q35" s="192"/>
      <c r="R35" s="192"/>
      <c r="S35" s="192"/>
      <c r="T35" s="192"/>
      <c r="U35" s="194"/>
      <c r="V35" s="192"/>
      <c r="W35" s="193"/>
      <c r="X35" s="194"/>
      <c r="Y35" s="192"/>
      <c r="Z35" s="192"/>
      <c r="AA35" s="194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</row>
    <row r="36" spans="1:60" x14ac:dyDescent="0.25">
      <c r="A36" s="5" t="s">
        <v>129</v>
      </c>
      <c r="B36" s="8">
        <f>'Adopted FY20 Budget Fund'!$N107</f>
        <v>0</v>
      </c>
      <c r="C36" s="8">
        <f>'Adopted FY20 Budget Fund'!$O107</f>
        <v>1394780</v>
      </c>
      <c r="D36" s="75" t="e">
        <f>#REF!</f>
        <v>#REF!</v>
      </c>
      <c r="E36" s="75" t="e">
        <f>#REF!</f>
        <v>#REF!</v>
      </c>
      <c r="F36" s="182" t="e">
        <f>(SUM(D36,E36)-SUM(C36,B36))/SUM(C36,B36)</f>
        <v>#REF!</v>
      </c>
      <c r="G36" s="8">
        <f>'Adopted FY20 Budget Fund'!$P107</f>
        <v>0</v>
      </c>
      <c r="H36" s="8">
        <f>'Adopted FY20 Budget Fund'!$Q107</f>
        <v>153220</v>
      </c>
      <c r="I36" s="75" t="e">
        <f>#REF!</f>
        <v>#REF!</v>
      </c>
      <c r="J36" s="75" t="e">
        <f>#REF!</f>
        <v>#REF!</v>
      </c>
      <c r="K36" s="182" t="e">
        <f>(SUM(I36,J36)-SUM(H36,G36))/SUM(H36,G36)</f>
        <v>#REF!</v>
      </c>
      <c r="L36" s="8">
        <f>'Adopted FY20 Budget Fund'!$R107</f>
        <v>0</v>
      </c>
      <c r="M36" s="8">
        <f>'Adopted FY20 Budget Fund'!$S107</f>
        <v>82612</v>
      </c>
      <c r="N36" s="75" t="e">
        <f>#REF!</f>
        <v>#REF!</v>
      </c>
      <c r="O36" s="75" t="e">
        <f>#REF!</f>
        <v>#REF!</v>
      </c>
      <c r="P36" s="182" t="e">
        <f>(SUM(N36,O36)-SUM(M36,L36))/SUM(M36,L36)</f>
        <v>#REF!</v>
      </c>
      <c r="Q36" s="8">
        <f>'Adopted FY20 Budget Fund'!$T107</f>
        <v>0</v>
      </c>
      <c r="R36" s="8">
        <f>'Adopted FY20 Budget Fund'!$U107</f>
        <v>42918</v>
      </c>
      <c r="S36" s="75" t="e">
        <f>#REF!</f>
        <v>#REF!</v>
      </c>
      <c r="T36" s="75" t="e">
        <f>#REF!</f>
        <v>#REF!</v>
      </c>
      <c r="U36" s="182" t="e">
        <f>(SUM(S36,T36)-SUM(R36,Q36))/SUM(R36,Q36)</f>
        <v>#REF!</v>
      </c>
      <c r="V36" s="8">
        <f>'Adopted FY20 Budget Fund'!$V107</f>
        <v>0</v>
      </c>
      <c r="W36" s="75" t="e">
        <f>#REF!</f>
        <v>#REF!</v>
      </c>
      <c r="X36" s="182"/>
      <c r="Y36" s="8">
        <f>+V36+R36+Q36+M36+L36+C36+B36+G36+H36</f>
        <v>1673530</v>
      </c>
      <c r="Z36" s="8" t="e">
        <f t="shared" ref="Z36:Z44" si="7">+W36+T36+S36+O36+N36+E36+D36</f>
        <v>#REF!</v>
      </c>
      <c r="AA36" s="182" t="e">
        <f>(Z36-Y36)/Y36</f>
        <v>#REF!</v>
      </c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x14ac:dyDescent="0.25">
      <c r="A37" s="5" t="s">
        <v>181</v>
      </c>
      <c r="B37" s="8">
        <f>'Adopted FY20 Budget Fund'!$N108</f>
        <v>0</v>
      </c>
      <c r="C37" s="8">
        <f>'Adopted FY20 Budget Fund'!$O108</f>
        <v>0</v>
      </c>
      <c r="D37" s="75" t="e">
        <f>#REF!</f>
        <v>#REF!</v>
      </c>
      <c r="E37" s="75" t="e">
        <f>#REF!</f>
        <v>#REF!</v>
      </c>
      <c r="F37" s="182"/>
      <c r="G37" s="8">
        <f>'Adopted FY20 Budget Fund'!$P108</f>
        <v>0</v>
      </c>
      <c r="H37" s="8">
        <f>'Adopted FY20 Budget Fund'!$Q108</f>
        <v>0</v>
      </c>
      <c r="I37" s="75" t="e">
        <f>#REF!</f>
        <v>#REF!</v>
      </c>
      <c r="J37" s="75" t="e">
        <f>#REF!</f>
        <v>#REF!</v>
      </c>
      <c r="K37" s="182"/>
      <c r="L37" s="8">
        <f>'Adopted FY20 Budget Fund'!$R108</f>
        <v>0</v>
      </c>
      <c r="M37" s="8">
        <f>'Adopted FY20 Budget Fund'!$S108</f>
        <v>0</v>
      </c>
      <c r="N37" s="75" t="e">
        <f>#REF!</f>
        <v>#REF!</v>
      </c>
      <c r="O37" s="75" t="e">
        <f>#REF!</f>
        <v>#REF!</v>
      </c>
      <c r="P37" s="182"/>
      <c r="Q37" s="8">
        <f>'Adopted FY20 Budget Fund'!$T108</f>
        <v>0</v>
      </c>
      <c r="R37" s="8">
        <f>'Adopted FY20 Budget Fund'!$U108</f>
        <v>0</v>
      </c>
      <c r="S37" s="75" t="e">
        <f>#REF!</f>
        <v>#REF!</v>
      </c>
      <c r="T37" s="75" t="e">
        <f>#REF!</f>
        <v>#REF!</v>
      </c>
      <c r="U37" s="182" t="e">
        <f t="shared" ref="U37:U45" si="8">(SUM(S37,T37)-SUM(R37,Q37))/SUM(R37,Q37)</f>
        <v>#REF!</v>
      </c>
      <c r="V37" s="8">
        <f>'Adopted FY20 Budget Fund'!$V108</f>
        <v>0</v>
      </c>
      <c r="W37" s="75" t="e">
        <f>#REF!</f>
        <v>#REF!</v>
      </c>
      <c r="X37" s="182"/>
      <c r="Y37" s="8">
        <f t="shared" ref="Y37:Y44" si="9">+V37+R37+Q37+M37+L37+C37+B37+G37+H37</f>
        <v>0</v>
      </c>
      <c r="Z37" s="8" t="e">
        <f t="shared" si="7"/>
        <v>#REF!</v>
      </c>
      <c r="AA37" s="182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x14ac:dyDescent="0.25">
      <c r="A38" s="5" t="s">
        <v>182</v>
      </c>
      <c r="B38" s="8">
        <f>'Adopted FY20 Budget Fund'!$N109</f>
        <v>342730</v>
      </c>
      <c r="C38" s="8">
        <f>'Adopted FY20 Budget Fund'!$O109</f>
        <v>0</v>
      </c>
      <c r="D38" s="75" t="e">
        <f>#REF!</f>
        <v>#REF!</v>
      </c>
      <c r="E38" s="75" t="e">
        <f>#REF!</f>
        <v>#REF!</v>
      </c>
      <c r="F38" s="182" t="e">
        <f>(SUM(D38,E38)-SUM(C38,B38))/SUM(C38,B38)</f>
        <v>#REF!</v>
      </c>
      <c r="G38" s="8">
        <f>'Adopted FY20 Budget Fund'!$P109</f>
        <v>46500</v>
      </c>
      <c r="H38" s="8">
        <f>'Adopted FY20 Budget Fund'!$Q109</f>
        <v>0</v>
      </c>
      <c r="I38" s="75" t="e">
        <f>#REF!</f>
        <v>#REF!</v>
      </c>
      <c r="J38" s="75" t="e">
        <f>#REF!</f>
        <v>#REF!</v>
      </c>
      <c r="K38" s="182" t="e">
        <f>(SUM(I38,J38)-SUM(H38,G38))/SUM(H38,G38)</f>
        <v>#REF!</v>
      </c>
      <c r="L38" s="8">
        <f>'Adopted FY20 Budget Fund'!$R109</f>
        <v>22398</v>
      </c>
      <c r="M38" s="8">
        <f>'Adopted FY20 Budget Fund'!$S109</f>
        <v>0</v>
      </c>
      <c r="N38" s="75" t="e">
        <f>#REF!</f>
        <v>#REF!</v>
      </c>
      <c r="O38" s="75" t="e">
        <f>#REF!</f>
        <v>#REF!</v>
      </c>
      <c r="P38" s="182" t="e">
        <f t="shared" ref="P38:P45" si="10">(SUM(N38,O38)-SUM(M38,L38))/SUM(M38,L38)</f>
        <v>#REF!</v>
      </c>
      <c r="Q38" s="8">
        <f>'Adopted FY20 Budget Fund'!$T109</f>
        <v>9490</v>
      </c>
      <c r="R38" s="8">
        <f>'Adopted FY20 Budget Fund'!$U109</f>
        <v>0</v>
      </c>
      <c r="S38" s="75" t="e">
        <f>#REF!</f>
        <v>#REF!</v>
      </c>
      <c r="T38" s="75" t="e">
        <f>#REF!</f>
        <v>#REF!</v>
      </c>
      <c r="U38" s="182" t="e">
        <f t="shared" si="8"/>
        <v>#REF!</v>
      </c>
      <c r="V38" s="8">
        <f>'Adopted FY20 Budget Fund'!$V109</f>
        <v>0</v>
      </c>
      <c r="W38" s="75" t="e">
        <f>#REF!</f>
        <v>#REF!</v>
      </c>
      <c r="X38" s="182"/>
      <c r="Y38" s="8">
        <f t="shared" si="9"/>
        <v>421118</v>
      </c>
      <c r="Z38" s="8" t="e">
        <f t="shared" si="7"/>
        <v>#REF!</v>
      </c>
      <c r="AA38" s="182" t="e">
        <f>(Z38-Y38)/Y38</f>
        <v>#REF!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x14ac:dyDescent="0.25">
      <c r="A39" s="5" t="s">
        <v>130</v>
      </c>
      <c r="B39" s="8">
        <f>'Adopted FY20 Budget Fund'!$N110</f>
        <v>0</v>
      </c>
      <c r="C39" s="8">
        <f>'Adopted FY20 Budget Fund'!$O110</f>
        <v>0</v>
      </c>
      <c r="D39" s="75" t="e">
        <f>#REF!</f>
        <v>#REF!</v>
      </c>
      <c r="E39" s="75" t="e">
        <f>#REF!</f>
        <v>#REF!</v>
      </c>
      <c r="F39" s="182"/>
      <c r="G39" s="8">
        <f>'Adopted FY20 Budget Fund'!$P110</f>
        <v>0</v>
      </c>
      <c r="H39" s="8">
        <f>'Adopted FY20 Budget Fund'!$Q110</f>
        <v>0</v>
      </c>
      <c r="I39" s="75" t="e">
        <f>#REF!</f>
        <v>#REF!</v>
      </c>
      <c r="J39" s="75" t="e">
        <f>#REF!</f>
        <v>#REF!</v>
      </c>
      <c r="K39" s="182"/>
      <c r="L39" s="8">
        <f>'Adopted FY20 Budget Fund'!$R110</f>
        <v>0</v>
      </c>
      <c r="M39" s="8">
        <f>'Adopted FY20 Budget Fund'!$S110</f>
        <v>0</v>
      </c>
      <c r="N39" s="75" t="e">
        <f>#REF!</f>
        <v>#REF!</v>
      </c>
      <c r="O39" s="75" t="e">
        <f>#REF!</f>
        <v>#REF!</v>
      </c>
      <c r="P39" s="182"/>
      <c r="Q39" s="8">
        <f>'Adopted FY20 Budget Fund'!$T110</f>
        <v>0</v>
      </c>
      <c r="R39" s="8">
        <f>'Adopted FY20 Budget Fund'!$U110</f>
        <v>0</v>
      </c>
      <c r="S39" s="75" t="e">
        <f>#REF!</f>
        <v>#REF!</v>
      </c>
      <c r="T39" s="75" t="e">
        <f>#REF!</f>
        <v>#REF!</v>
      </c>
      <c r="U39" s="182" t="e">
        <f t="shared" si="8"/>
        <v>#REF!</v>
      </c>
      <c r="V39" s="8">
        <f>'Adopted FY20 Budget Fund'!$V110</f>
        <v>0</v>
      </c>
      <c r="W39" s="75" t="e">
        <f>#REF!</f>
        <v>#REF!</v>
      </c>
      <c r="X39" s="182"/>
      <c r="Y39" s="8">
        <f t="shared" si="9"/>
        <v>0</v>
      </c>
      <c r="Z39" s="8" t="e">
        <f t="shared" si="7"/>
        <v>#REF!</v>
      </c>
      <c r="AA39" s="182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x14ac:dyDescent="0.25">
      <c r="A40" s="5" t="s">
        <v>131</v>
      </c>
      <c r="B40" s="8">
        <f>'Adopted FY20 Budget Fund'!$N111</f>
        <v>67005</v>
      </c>
      <c r="C40" s="8">
        <f>'Adopted FY20 Budget Fund'!$O111</f>
        <v>30786</v>
      </c>
      <c r="D40" s="75" t="e">
        <f>#REF!</f>
        <v>#REF!</v>
      </c>
      <c r="E40" s="75" t="e">
        <f>#REF!</f>
        <v>#REF!</v>
      </c>
      <c r="F40" s="182" t="e">
        <f>(SUM(D40,E40)-SUM(C40,B40))/SUM(C40,B40)</f>
        <v>#REF!</v>
      </c>
      <c r="G40" s="8">
        <f>'Adopted FY20 Budget Fund'!$P111</f>
        <v>15911</v>
      </c>
      <c r="H40" s="8">
        <f>'Adopted FY20 Budget Fund'!$Q111</f>
        <v>3383</v>
      </c>
      <c r="I40" s="75" t="e">
        <f>#REF!</f>
        <v>#REF!</v>
      </c>
      <c r="J40" s="75" t="e">
        <f>#REF!</f>
        <v>#REF!</v>
      </c>
      <c r="K40" s="182" t="e">
        <f>(SUM(I40,J40)-SUM(H40,G40))/SUM(H40,G40)</f>
        <v>#REF!</v>
      </c>
      <c r="L40" s="8">
        <f>'Adopted FY20 Budget Fund'!$R111</f>
        <v>11408</v>
      </c>
      <c r="M40" s="8">
        <f>'Adopted FY20 Budget Fund'!$S111</f>
        <v>2687</v>
      </c>
      <c r="N40" s="75" t="e">
        <f>#REF!</f>
        <v>#REF!</v>
      </c>
      <c r="O40" s="75" t="e">
        <f>#REF!</f>
        <v>#REF!</v>
      </c>
      <c r="P40" s="182" t="e">
        <f t="shared" si="10"/>
        <v>#REF!</v>
      </c>
      <c r="Q40" s="8">
        <f>'Adopted FY20 Budget Fund'!$T111</f>
        <v>3247</v>
      </c>
      <c r="R40" s="8">
        <f>'Adopted FY20 Budget Fund'!$U111</f>
        <v>938</v>
      </c>
      <c r="S40" s="75" t="e">
        <f>#REF!</f>
        <v>#REF!</v>
      </c>
      <c r="T40" s="75" t="e">
        <f>#REF!</f>
        <v>#REF!</v>
      </c>
      <c r="U40" s="182" t="e">
        <f t="shared" si="8"/>
        <v>#REF!</v>
      </c>
      <c r="V40" s="8">
        <f>'Adopted FY20 Budget Fund'!$V111</f>
        <v>0</v>
      </c>
      <c r="W40" s="75" t="e">
        <f>#REF!</f>
        <v>#REF!</v>
      </c>
      <c r="X40" s="182"/>
      <c r="Y40" s="8">
        <f t="shared" si="9"/>
        <v>135365</v>
      </c>
      <c r="Z40" s="8" t="e">
        <f t="shared" si="7"/>
        <v>#REF!</v>
      </c>
      <c r="AA40" s="182" t="e">
        <f>(Z40-Y40)/Y40</f>
        <v>#REF!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x14ac:dyDescent="0.25">
      <c r="A41" s="5" t="s">
        <v>90</v>
      </c>
      <c r="B41" s="8">
        <f>'Adopted FY20 Budget Fund'!$N112</f>
        <v>72000</v>
      </c>
      <c r="C41" s="8">
        <f>'Adopted FY20 Budget Fund'!$O112</f>
        <v>0</v>
      </c>
      <c r="D41" s="75" t="e">
        <f>#REF!</f>
        <v>#REF!</v>
      </c>
      <c r="E41" s="75" t="e">
        <f>#REF!</f>
        <v>#REF!</v>
      </c>
      <c r="F41" s="182" t="e">
        <f>(SUM(D41,E41)-SUM(C41,B41))/SUM(C41,B41)</f>
        <v>#REF!</v>
      </c>
      <c r="G41" s="8">
        <f>'Adopted FY20 Budget Fund'!$P112</f>
        <v>0</v>
      </c>
      <c r="H41" s="8">
        <f>'Adopted FY20 Budget Fund'!$Q112</f>
        <v>0</v>
      </c>
      <c r="I41" s="75" t="e">
        <f>#REF!</f>
        <v>#REF!</v>
      </c>
      <c r="J41" s="75" t="e">
        <f>#REF!</f>
        <v>#REF!</v>
      </c>
      <c r="K41" s="182"/>
      <c r="L41" s="8">
        <f>'Adopted FY20 Budget Fund'!$R112</f>
        <v>81504</v>
      </c>
      <c r="M41" s="8">
        <f>'Adopted FY20 Budget Fund'!$S112</f>
        <v>0</v>
      </c>
      <c r="N41" s="75" t="e">
        <f>#REF!</f>
        <v>#REF!</v>
      </c>
      <c r="O41" s="75" t="e">
        <f>#REF!</f>
        <v>#REF!</v>
      </c>
      <c r="P41" s="182" t="e">
        <f t="shared" si="10"/>
        <v>#REF!</v>
      </c>
      <c r="Q41" s="8">
        <f>'Adopted FY20 Budget Fund'!$T112</f>
        <v>137952</v>
      </c>
      <c r="R41" s="8">
        <f>'Adopted FY20 Budget Fund'!$U112</f>
        <v>0</v>
      </c>
      <c r="S41" s="75" t="e">
        <f>#REF!</f>
        <v>#REF!</v>
      </c>
      <c r="T41" s="75" t="e">
        <f>#REF!</f>
        <v>#REF!</v>
      </c>
      <c r="U41" s="182" t="e">
        <f t="shared" si="8"/>
        <v>#REF!</v>
      </c>
      <c r="V41" s="8">
        <f>'Adopted FY20 Budget Fund'!$V112</f>
        <v>245705</v>
      </c>
      <c r="W41" s="75" t="e">
        <f>#REF!</f>
        <v>#REF!</v>
      </c>
      <c r="X41" s="182" t="e">
        <f>(W41-V41)/V41</f>
        <v>#REF!</v>
      </c>
      <c r="Y41" s="8">
        <f t="shared" si="9"/>
        <v>537161</v>
      </c>
      <c r="Z41" s="8" t="e">
        <f t="shared" si="7"/>
        <v>#REF!</v>
      </c>
      <c r="AA41" s="182" t="e">
        <f>(Z41-Y41)/Y41</f>
        <v>#REF!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 spans="1:60" x14ac:dyDescent="0.25">
      <c r="A42" s="5" t="s">
        <v>132</v>
      </c>
      <c r="B42" s="8">
        <f>'Adopted FY20 Budget Fund'!$N113</f>
        <v>0</v>
      </c>
      <c r="C42" s="8">
        <f>'Adopted FY20 Budget Fund'!$O113</f>
        <v>0</v>
      </c>
      <c r="D42" s="75" t="e">
        <f>#REF!</f>
        <v>#REF!</v>
      </c>
      <c r="E42" s="75" t="e">
        <f>#REF!</f>
        <v>#REF!</v>
      </c>
      <c r="F42" s="182"/>
      <c r="G42" s="8">
        <f>'Adopted FY20 Budget Fund'!$P113</f>
        <v>0</v>
      </c>
      <c r="H42" s="8">
        <f>'Adopted FY20 Budget Fund'!$Q113</f>
        <v>0</v>
      </c>
      <c r="I42" s="75" t="e">
        <f>#REF!</f>
        <v>#REF!</v>
      </c>
      <c r="J42" s="75" t="e">
        <f>#REF!</f>
        <v>#REF!</v>
      </c>
      <c r="K42" s="182"/>
      <c r="L42" s="8">
        <f>'Adopted FY20 Budget Fund'!$R113</f>
        <v>6000</v>
      </c>
      <c r="M42" s="8">
        <f>'Adopted FY20 Budget Fund'!$S113</f>
        <v>0</v>
      </c>
      <c r="N42" s="75" t="e">
        <f>#REF!</f>
        <v>#REF!</v>
      </c>
      <c r="O42" s="75" t="e">
        <f>#REF!</f>
        <v>#REF!</v>
      </c>
      <c r="P42" s="182" t="e">
        <f t="shared" si="10"/>
        <v>#REF!</v>
      </c>
      <c r="Q42" s="8">
        <f>'Adopted FY20 Budget Fund'!$T113</f>
        <v>6000</v>
      </c>
      <c r="R42" s="8">
        <f>'Adopted FY20 Budget Fund'!$U113</f>
        <v>0</v>
      </c>
      <c r="S42" s="75" t="e">
        <f>#REF!</f>
        <v>#REF!</v>
      </c>
      <c r="T42" s="75" t="e">
        <f>#REF!</f>
        <v>#REF!</v>
      </c>
      <c r="U42" s="182" t="e">
        <f t="shared" si="8"/>
        <v>#REF!</v>
      </c>
      <c r="V42" s="8">
        <f>'Adopted FY20 Budget Fund'!$V113</f>
        <v>0</v>
      </c>
      <c r="W42" s="75" t="e">
        <f>#REF!</f>
        <v>#REF!</v>
      </c>
      <c r="X42" s="182"/>
      <c r="Y42" s="8">
        <f t="shared" si="9"/>
        <v>12000</v>
      </c>
      <c r="Z42" s="8" t="e">
        <f t="shared" si="7"/>
        <v>#REF!</v>
      </c>
      <c r="AA42" s="182" t="e">
        <f>(Z42-Y42)/Y42</f>
        <v>#REF!</v>
      </c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x14ac:dyDescent="0.25">
      <c r="A43" s="5" t="s">
        <v>133</v>
      </c>
      <c r="B43" s="8">
        <f>'Adopted FY20 Budget Fund'!$N114</f>
        <v>0</v>
      </c>
      <c r="C43" s="8">
        <f>'Adopted FY20 Budget Fund'!$O114</f>
        <v>0</v>
      </c>
      <c r="D43" s="75" t="e">
        <f>#REF!</f>
        <v>#REF!</v>
      </c>
      <c r="E43" s="75" t="e">
        <f>#REF!</f>
        <v>#REF!</v>
      </c>
      <c r="F43" s="182"/>
      <c r="G43" s="8">
        <f>'Adopted FY20 Budget Fund'!$P114</f>
        <v>0</v>
      </c>
      <c r="H43" s="8">
        <f>'Adopted FY20 Budget Fund'!$Q114</f>
        <v>0</v>
      </c>
      <c r="I43" s="75" t="e">
        <f>#REF!</f>
        <v>#REF!</v>
      </c>
      <c r="J43" s="75" t="e">
        <f>#REF!</f>
        <v>#REF!</v>
      </c>
      <c r="K43" s="182"/>
      <c r="L43" s="8">
        <f>'Adopted FY20 Budget Fund'!$R114</f>
        <v>0</v>
      </c>
      <c r="M43" s="8">
        <f>'Adopted FY20 Budget Fund'!$S114</f>
        <v>0</v>
      </c>
      <c r="N43" s="75" t="e">
        <f>#REF!</f>
        <v>#REF!</v>
      </c>
      <c r="O43" s="75" t="e">
        <f>#REF!</f>
        <v>#REF!</v>
      </c>
      <c r="P43" s="182"/>
      <c r="Q43" s="8">
        <f>'Adopted FY20 Budget Fund'!$T114</f>
        <v>0</v>
      </c>
      <c r="R43" s="8">
        <f>'Adopted FY20 Budget Fund'!$U114</f>
        <v>0</v>
      </c>
      <c r="S43" s="75" t="e">
        <f>#REF!</f>
        <v>#REF!</v>
      </c>
      <c r="T43" s="75" t="e">
        <f>#REF!</f>
        <v>#REF!</v>
      </c>
      <c r="U43" s="182"/>
      <c r="V43" s="8">
        <f>'Adopted FY20 Budget Fund'!$V114</f>
        <v>0</v>
      </c>
      <c r="W43" s="75" t="e">
        <f>#REF!</f>
        <v>#REF!</v>
      </c>
      <c r="X43" s="182"/>
      <c r="Y43" s="8">
        <f t="shared" si="9"/>
        <v>0</v>
      </c>
      <c r="Z43" s="8" t="e">
        <f t="shared" si="7"/>
        <v>#REF!</v>
      </c>
      <c r="AA43" s="182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x14ac:dyDescent="0.25">
      <c r="A44" s="5" t="s">
        <v>134</v>
      </c>
      <c r="B44" s="8">
        <f>'Adopted FY20 Budget Fund'!$N115</f>
        <v>0</v>
      </c>
      <c r="C44" s="8">
        <f>'Adopted FY20 Budget Fund'!$O115</f>
        <v>0</v>
      </c>
      <c r="D44" s="75" t="e">
        <f>#REF!</f>
        <v>#REF!</v>
      </c>
      <c r="E44" s="75" t="e">
        <f>#REF!</f>
        <v>#REF!</v>
      </c>
      <c r="F44" s="182"/>
      <c r="G44" s="8">
        <f>'Adopted FY20 Budget Fund'!$P115</f>
        <v>0</v>
      </c>
      <c r="H44" s="8">
        <f>'Adopted FY20 Budget Fund'!$Q115</f>
        <v>0</v>
      </c>
      <c r="I44" s="75" t="e">
        <f>#REF!</f>
        <v>#REF!</v>
      </c>
      <c r="J44" s="75" t="e">
        <f>#REF!</f>
        <v>#REF!</v>
      </c>
      <c r="K44" s="182"/>
      <c r="L44" s="8">
        <f>'Adopted FY20 Budget Fund'!$R115</f>
        <v>0</v>
      </c>
      <c r="M44" s="8">
        <f>'Adopted FY20 Budget Fund'!$S115</f>
        <v>0</v>
      </c>
      <c r="N44" s="75" t="e">
        <f>#REF!</f>
        <v>#REF!</v>
      </c>
      <c r="O44" s="75" t="e">
        <f>#REF!</f>
        <v>#REF!</v>
      </c>
      <c r="P44" s="182"/>
      <c r="Q44" s="8">
        <f>'Adopted FY20 Budget Fund'!$T115</f>
        <v>0</v>
      </c>
      <c r="R44" s="8">
        <f>'Adopted FY20 Budget Fund'!$U115</f>
        <v>0</v>
      </c>
      <c r="S44" s="75" t="e">
        <f>#REF!</f>
        <v>#REF!</v>
      </c>
      <c r="T44" s="75" t="e">
        <f>#REF!</f>
        <v>#REF!</v>
      </c>
      <c r="U44" s="182"/>
      <c r="V44" s="8">
        <f>'Adopted FY20 Budget Fund'!$V115</f>
        <v>0</v>
      </c>
      <c r="W44" s="75" t="e">
        <f>#REF!</f>
        <v>#REF!</v>
      </c>
      <c r="X44" s="182"/>
      <c r="Y44" s="8">
        <f t="shared" si="9"/>
        <v>0</v>
      </c>
      <c r="Z44" s="8" t="e">
        <f t="shared" si="7"/>
        <v>#REF!</v>
      </c>
      <c r="AA44" s="182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ht="13.8" thickBot="1" x14ac:dyDescent="0.3">
      <c r="A45" s="188" t="s">
        <v>259</v>
      </c>
      <c r="B45" s="180">
        <f>SUM(B36:B44)</f>
        <v>481735</v>
      </c>
      <c r="C45" s="180">
        <f>SUM(C36:C44)</f>
        <v>1425566</v>
      </c>
      <c r="D45" s="181" t="e">
        <f>SUM(D36:D44)</f>
        <v>#REF!</v>
      </c>
      <c r="E45" s="181" t="e">
        <f>SUM(E36:E44)</f>
        <v>#REF!</v>
      </c>
      <c r="F45" s="186" t="e">
        <f>(SUM(D45,E45)-SUM(C45,B45))/SUM(C45,B45)</f>
        <v>#REF!</v>
      </c>
      <c r="G45" s="180">
        <f>SUM(G36:G44)</f>
        <v>62411</v>
      </c>
      <c r="H45" s="180">
        <f>SUM(H36:H44)</f>
        <v>156603</v>
      </c>
      <c r="I45" s="181" t="e">
        <f>SUM(I36:I44)</f>
        <v>#REF!</v>
      </c>
      <c r="J45" s="181" t="e">
        <f>SUM(J36:J44)</f>
        <v>#REF!</v>
      </c>
      <c r="K45" s="186" t="e">
        <f>(SUM(I45,J45)-SUM(H45,G45))/SUM(H45,G45)</f>
        <v>#REF!</v>
      </c>
      <c r="L45" s="180">
        <f>SUM(L36:L44)</f>
        <v>121310</v>
      </c>
      <c r="M45" s="180">
        <f>SUM(M36:M44)</f>
        <v>85299</v>
      </c>
      <c r="N45" s="181" t="e">
        <f>SUM(N36:N44)</f>
        <v>#REF!</v>
      </c>
      <c r="O45" s="181" t="e">
        <f>SUM(O36:O44)</f>
        <v>#REF!</v>
      </c>
      <c r="P45" s="186" t="e">
        <f t="shared" si="10"/>
        <v>#REF!</v>
      </c>
      <c r="Q45" s="180">
        <f>SUM(Q36:Q44)</f>
        <v>156689</v>
      </c>
      <c r="R45" s="180">
        <f>SUM(R36:R44)</f>
        <v>43856</v>
      </c>
      <c r="S45" s="181" t="e">
        <f>SUM(S36:S44)</f>
        <v>#REF!</v>
      </c>
      <c r="T45" s="181" t="e">
        <f>SUM(T36:T44)</f>
        <v>#REF!</v>
      </c>
      <c r="U45" s="186" t="e">
        <f t="shared" si="8"/>
        <v>#REF!</v>
      </c>
      <c r="V45" s="180">
        <f>SUM(V36:V44)</f>
        <v>245705</v>
      </c>
      <c r="W45" s="181" t="e">
        <f>SUM(W36:W44)</f>
        <v>#REF!</v>
      </c>
      <c r="X45" s="186" t="e">
        <f>(W45-V45)/V45</f>
        <v>#REF!</v>
      </c>
      <c r="Y45" s="180">
        <f>SUM(Y36:Y44)</f>
        <v>2779174</v>
      </c>
      <c r="Z45" s="180" t="e">
        <f>SUM(Z36:Z44)</f>
        <v>#REF!</v>
      </c>
      <c r="AA45" s="186" t="e">
        <f>(Z45-Y45)/Y45</f>
        <v>#REF!</v>
      </c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ht="13.8" thickTop="1" x14ac:dyDescent="0.25"/>
    <row r="50" spans="1:87" ht="79.2" x14ac:dyDescent="0.25">
      <c r="A50" s="187" t="s">
        <v>253</v>
      </c>
      <c r="B50" s="183" t="s">
        <v>354</v>
      </c>
      <c r="C50" s="183" t="s">
        <v>355</v>
      </c>
      <c r="D50" s="184" t="s">
        <v>221</v>
      </c>
      <c r="E50" s="184" t="s">
        <v>222</v>
      </c>
      <c r="F50" s="185" t="s">
        <v>248</v>
      </c>
      <c r="G50" s="183" t="s">
        <v>418</v>
      </c>
      <c r="H50" s="184" t="s">
        <v>416</v>
      </c>
      <c r="I50" s="185" t="s">
        <v>248</v>
      </c>
      <c r="J50" s="183" t="s">
        <v>377</v>
      </c>
      <c r="K50" s="184" t="s">
        <v>378</v>
      </c>
      <c r="L50" s="185" t="s">
        <v>248</v>
      </c>
      <c r="M50" s="183" t="s">
        <v>285</v>
      </c>
      <c r="N50" s="183" t="s">
        <v>286</v>
      </c>
      <c r="O50" s="184" t="s">
        <v>224</v>
      </c>
      <c r="P50" s="184" t="s">
        <v>225</v>
      </c>
      <c r="Q50" s="185" t="s">
        <v>248</v>
      </c>
      <c r="R50" s="183" t="s">
        <v>379</v>
      </c>
      <c r="S50" s="183" t="s">
        <v>380</v>
      </c>
      <c r="T50" s="184" t="s">
        <v>381</v>
      </c>
      <c r="U50" s="184" t="s">
        <v>382</v>
      </c>
      <c r="V50" s="185" t="s">
        <v>248</v>
      </c>
      <c r="W50" s="183" t="s">
        <v>289</v>
      </c>
      <c r="X50" s="183" t="s">
        <v>290</v>
      </c>
      <c r="Y50" s="184" t="s">
        <v>226</v>
      </c>
      <c r="Z50" s="184" t="s">
        <v>227</v>
      </c>
      <c r="AA50" s="185" t="s">
        <v>248</v>
      </c>
      <c r="AB50" s="183" t="s">
        <v>383</v>
      </c>
      <c r="AC50" s="183" t="s">
        <v>384</v>
      </c>
      <c r="AD50" s="184" t="s">
        <v>385</v>
      </c>
      <c r="AE50" s="184" t="s">
        <v>386</v>
      </c>
      <c r="AF50" s="185" t="s">
        <v>248</v>
      </c>
      <c r="AG50" s="183" t="s">
        <v>293</v>
      </c>
      <c r="AH50" s="183" t="s">
        <v>294</v>
      </c>
      <c r="AI50" s="184" t="s">
        <v>229</v>
      </c>
      <c r="AJ50" s="184" t="s">
        <v>230</v>
      </c>
      <c r="AK50" s="185" t="s">
        <v>248</v>
      </c>
      <c r="AL50" s="183" t="s">
        <v>295</v>
      </c>
      <c r="AM50" s="183" t="s">
        <v>296</v>
      </c>
      <c r="AN50" s="184" t="s">
        <v>231</v>
      </c>
      <c r="AO50" s="184" t="s">
        <v>232</v>
      </c>
      <c r="AP50" s="185" t="s">
        <v>248</v>
      </c>
      <c r="AQ50" s="183" t="s">
        <v>297</v>
      </c>
      <c r="AR50" s="183" t="s">
        <v>298</v>
      </c>
      <c r="AS50" s="184" t="s">
        <v>233</v>
      </c>
      <c r="AT50" s="184" t="s">
        <v>234</v>
      </c>
      <c r="AU50" s="185" t="s">
        <v>248</v>
      </c>
      <c r="AV50" s="183" t="s">
        <v>299</v>
      </c>
      <c r="AW50" s="183" t="s">
        <v>300</v>
      </c>
      <c r="AX50" s="184" t="s">
        <v>235</v>
      </c>
      <c r="AY50" s="184" t="s">
        <v>236</v>
      </c>
      <c r="AZ50" s="185" t="s">
        <v>248</v>
      </c>
      <c r="BA50" s="183" t="s">
        <v>301</v>
      </c>
      <c r="BB50" s="183" t="s">
        <v>302</v>
      </c>
      <c r="BC50" s="184" t="s">
        <v>237</v>
      </c>
      <c r="BD50" s="184" t="s">
        <v>238</v>
      </c>
      <c r="BE50" s="185" t="s">
        <v>248</v>
      </c>
      <c r="BF50" s="183" t="s">
        <v>303</v>
      </c>
      <c r="BG50" s="183" t="s">
        <v>304</v>
      </c>
      <c r="BH50" s="184" t="s">
        <v>239</v>
      </c>
      <c r="BI50" s="184" t="s">
        <v>240</v>
      </c>
      <c r="BJ50" s="185" t="s">
        <v>248</v>
      </c>
      <c r="BK50" s="183" t="s">
        <v>305</v>
      </c>
      <c r="BL50" s="183" t="s">
        <v>306</v>
      </c>
      <c r="BM50" s="184" t="s">
        <v>241</v>
      </c>
      <c r="BN50" s="184" t="s">
        <v>242</v>
      </c>
      <c r="BO50" s="185" t="s">
        <v>248</v>
      </c>
      <c r="BP50" s="183" t="s">
        <v>371</v>
      </c>
      <c r="BQ50" s="183" t="s">
        <v>255</v>
      </c>
      <c r="BR50" s="185" t="s">
        <v>248</v>
      </c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</row>
    <row r="51" spans="1:87" s="200" customFormat="1" x14ac:dyDescent="0.25">
      <c r="A51" s="195" t="s">
        <v>37</v>
      </c>
      <c r="B51" s="196">
        <f>'Adopted FY20 Budget Fund'!$X2</f>
        <v>0</v>
      </c>
      <c r="C51" s="196">
        <f>'Adopted FY20 Budget Fund'!$Y2</f>
        <v>0</v>
      </c>
      <c r="D51" s="196" t="e">
        <f>#REF!</f>
        <v>#REF!</v>
      </c>
      <c r="E51" s="196" t="e">
        <f>#REF!</f>
        <v>#REF!</v>
      </c>
      <c r="F51" s="197"/>
      <c r="G51" s="196">
        <f>'Adopted FY20 Budget Fund'!$Z2</f>
        <v>0</v>
      </c>
      <c r="H51" s="196" t="e">
        <f>#REF!</f>
        <v>#REF!</v>
      </c>
      <c r="I51" s="197"/>
      <c r="J51" s="196">
        <f>'Adopted FY20 Budget Fund'!$AA2</f>
        <v>0</v>
      </c>
      <c r="K51" s="196" t="e">
        <f>#REF!</f>
        <v>#REF!</v>
      </c>
      <c r="L51" s="197"/>
      <c r="M51" s="196">
        <f>'Adopted FY20 Budget Fund'!$AB2</f>
        <v>364221</v>
      </c>
      <c r="N51" s="196">
        <f>'Adopted FY20 Budget Fund'!$AC2</f>
        <v>0</v>
      </c>
      <c r="O51" s="196" t="e">
        <f>#REF!</f>
        <v>#REF!</v>
      </c>
      <c r="P51" s="196" t="e">
        <f>#REF!</f>
        <v>#REF!</v>
      </c>
      <c r="Q51" s="201" t="e">
        <f>(SUM(O51,P51)-SUM(N51,M51))/SUM(N51,M51)</f>
        <v>#REF!</v>
      </c>
      <c r="R51" s="196">
        <f>'Adopted FY20 Budget Fund'!$AD2</f>
        <v>2453</v>
      </c>
      <c r="S51" s="196">
        <f>'Adopted FY20 Budget Fund'!$AE2</f>
        <v>0</v>
      </c>
      <c r="T51" s="196" t="e">
        <f>#REF!</f>
        <v>#REF!</v>
      </c>
      <c r="U51" s="196" t="e">
        <f>#REF!</f>
        <v>#REF!</v>
      </c>
      <c r="V51" s="201" t="e">
        <f>(SUM(T51,U51)-SUM(S51,R51))/SUM(S51,R51)</f>
        <v>#REF!</v>
      </c>
      <c r="W51" s="196">
        <f>'Adopted FY20 Budget Fund'!$AF2</f>
        <v>100226</v>
      </c>
      <c r="X51" s="196">
        <f>'Adopted FY20 Budget Fund'!$AG2</f>
        <v>0</v>
      </c>
      <c r="Y51" s="196" t="e">
        <f>#REF!</f>
        <v>#REF!</v>
      </c>
      <c r="Z51" s="196" t="e">
        <f>#REF!</f>
        <v>#REF!</v>
      </c>
      <c r="AA51" s="201" t="e">
        <f>(SUM(Y51,Z51)-SUM(X51,W51))/SUM(X51,W51)</f>
        <v>#REF!</v>
      </c>
      <c r="AB51" s="196">
        <f>'Adopted FY20 Budget Fund'!$AH2</f>
        <v>0</v>
      </c>
      <c r="AC51" s="196">
        <f>'Adopted FY20 Budget Fund'!$AI2</f>
        <v>0</v>
      </c>
      <c r="AD51" s="196" t="e">
        <f>#REF!</f>
        <v>#REF!</v>
      </c>
      <c r="AE51" s="196" t="e">
        <f>#REF!</f>
        <v>#REF!</v>
      </c>
      <c r="AF51" s="201"/>
      <c r="AG51" s="196">
        <f>'Adopted FY20 Budget Fund'!$AJ2</f>
        <v>89027</v>
      </c>
      <c r="AH51" s="196">
        <f>'Adopted FY20 Budget Fund'!$AK2</f>
        <v>0</v>
      </c>
      <c r="AI51" s="196" t="e">
        <f>#REF!</f>
        <v>#REF!</v>
      </c>
      <c r="AJ51" s="196" t="e">
        <f>#REF!</f>
        <v>#REF!</v>
      </c>
      <c r="AK51" s="201" t="e">
        <f>(SUM(AI51,AJ51)-SUM(AH51,AG51))/SUM(AH51,AG51)</f>
        <v>#REF!</v>
      </c>
      <c r="AL51" s="196">
        <f>'Adopted FY20 Budget Fund'!$AL2</f>
        <v>7284</v>
      </c>
      <c r="AM51" s="196">
        <f>'Adopted FY20 Budget Fund'!$AM2</f>
        <v>0</v>
      </c>
      <c r="AN51" s="196" t="e">
        <f>#REF!</f>
        <v>#REF!</v>
      </c>
      <c r="AO51" s="196" t="e">
        <f>#REF!</f>
        <v>#REF!</v>
      </c>
      <c r="AP51" s="201" t="e">
        <f>(SUM(AN51,AO51)-SUM(AM51,AL51))/SUM(AM51,AL51)</f>
        <v>#REF!</v>
      </c>
      <c r="AQ51" s="196">
        <f>'Adopted FY20 Budget Fund'!$AN2</f>
        <v>41951</v>
      </c>
      <c r="AR51" s="196">
        <f>'Adopted FY20 Budget Fund'!$AO2</f>
        <v>0</v>
      </c>
      <c r="AS51" s="196" t="e">
        <f>#REF!</f>
        <v>#REF!</v>
      </c>
      <c r="AT51" s="196" t="e">
        <f>#REF!</f>
        <v>#REF!</v>
      </c>
      <c r="AU51" s="201" t="e">
        <f>(SUM(AS51,AT51)-SUM(AR51,AQ51))/SUM(AR51,AQ51)</f>
        <v>#REF!</v>
      </c>
      <c r="AV51" s="196">
        <f>'Adopted FY20 Budget Fund'!$AP2</f>
        <v>8209</v>
      </c>
      <c r="AW51" s="196">
        <f>'Adopted FY20 Budget Fund'!$AQ2</f>
        <v>0</v>
      </c>
      <c r="AX51" s="196" t="e">
        <f>#REF!</f>
        <v>#REF!</v>
      </c>
      <c r="AY51" s="196" t="e">
        <f>#REF!</f>
        <v>#REF!</v>
      </c>
      <c r="AZ51" s="201" t="e">
        <f>(SUM(AX51,AY51)-SUM(AW51,AV51))/SUM(AW51,AV51)</f>
        <v>#REF!</v>
      </c>
      <c r="BA51" s="196">
        <f>'Adopted FY20 Budget Fund'!$AR2</f>
        <v>0</v>
      </c>
      <c r="BB51" s="196">
        <f>'Adopted FY20 Budget Fund'!$AS2</f>
        <v>0</v>
      </c>
      <c r="BC51" s="196" t="e">
        <f>#REF!</f>
        <v>#REF!</v>
      </c>
      <c r="BD51" s="196" t="e">
        <f>#REF!</f>
        <v>#REF!</v>
      </c>
      <c r="BE51" s="197"/>
      <c r="BF51" s="196">
        <f>'Adopted FY20 Budget Fund'!$AT2</f>
        <v>0</v>
      </c>
      <c r="BG51" s="196">
        <f>'Adopted FY20 Budget Fund'!$AU2</f>
        <v>0</v>
      </c>
      <c r="BH51" s="196" t="e">
        <f>#REF!</f>
        <v>#REF!</v>
      </c>
      <c r="BI51" s="196" t="e">
        <f>#REF!</f>
        <v>#REF!</v>
      </c>
      <c r="BJ51" s="197"/>
      <c r="BK51" s="196">
        <f>'Adopted FY20 Budget Fund'!$AV2</f>
        <v>0</v>
      </c>
      <c r="BL51" s="196">
        <f>'Adopted FY20 Budget Fund'!$AW2</f>
        <v>0</v>
      </c>
      <c r="BM51" s="196" t="e">
        <f>#REF!</f>
        <v>#REF!</v>
      </c>
      <c r="BN51" s="196" t="e">
        <f>#REF!</f>
        <v>#REF!</v>
      </c>
      <c r="BO51" s="197"/>
      <c r="BP51" s="8">
        <f>+B51+C51+G51+M51+N51+W51+X51+AG51+AH51+AL51+AM51+AQ51+AR51+AV51+AW51+BA51+BB51+BF51+BG51+BK51+BL51+J51+R51+S51+AB51+AC51</f>
        <v>613371</v>
      </c>
      <c r="BQ51" s="206" t="e">
        <f>+D51+E51+H51+O51+P51+Y51+Z51+AI51+AJ51+AN51+AO51+AS51+AT51+AX51+AY51+BC51+BD51+BH51+BI51+BM51+BN51+U51+T51+K51+AD51+AE51</f>
        <v>#REF!</v>
      </c>
      <c r="BR51" s="204" t="e">
        <f>(BQ51-BP51)/BP51</f>
        <v>#REF!</v>
      </c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</row>
    <row r="52" spans="1:87" s="200" customFormat="1" x14ac:dyDescent="0.25">
      <c r="A52" s="195" t="s">
        <v>38</v>
      </c>
      <c r="B52" s="196">
        <f>'Adopted FY20 Budget Fund'!$X3</f>
        <v>0</v>
      </c>
      <c r="C52" s="196">
        <f>'Adopted FY20 Budget Fund'!$Y3</f>
        <v>0</v>
      </c>
      <c r="D52" s="196" t="e">
        <f>#REF!</f>
        <v>#REF!</v>
      </c>
      <c r="E52" s="196" t="e">
        <f>#REF!</f>
        <v>#REF!</v>
      </c>
      <c r="F52" s="197"/>
      <c r="G52" s="196">
        <f>'Adopted FY20 Budget Fund'!$Z3</f>
        <v>0</v>
      </c>
      <c r="H52" s="196" t="e">
        <f>#REF!</f>
        <v>#REF!</v>
      </c>
      <c r="I52" s="197"/>
      <c r="J52" s="196">
        <f>'Adopted FY20 Budget Fund'!$AA3</f>
        <v>57000</v>
      </c>
      <c r="K52" s="196" t="e">
        <f>#REF!</f>
        <v>#REF!</v>
      </c>
      <c r="L52" s="197"/>
      <c r="M52" s="196">
        <f>'Adopted FY20 Budget Fund'!$AB3</f>
        <v>0</v>
      </c>
      <c r="N52" s="196">
        <f>'Adopted FY20 Budget Fund'!$AC3</f>
        <v>0</v>
      </c>
      <c r="O52" s="196" t="e">
        <f>#REF!</f>
        <v>#REF!</v>
      </c>
      <c r="P52" s="196" t="e">
        <f>#REF!</f>
        <v>#REF!</v>
      </c>
      <c r="Q52" s="201"/>
      <c r="R52" s="196">
        <f>'Adopted FY20 Budget Fund'!$AD3</f>
        <v>0</v>
      </c>
      <c r="S52" s="196">
        <f>'Adopted FY20 Budget Fund'!$AE3</f>
        <v>0</v>
      </c>
      <c r="T52" s="196" t="e">
        <f>#REF!</f>
        <v>#REF!</v>
      </c>
      <c r="U52" s="196" t="e">
        <f>#REF!</f>
        <v>#REF!</v>
      </c>
      <c r="V52" s="201"/>
      <c r="W52" s="196">
        <f>'Adopted FY20 Budget Fund'!$AF3</f>
        <v>0</v>
      </c>
      <c r="X52" s="196">
        <f>'Adopted FY20 Budget Fund'!$AG3</f>
        <v>0</v>
      </c>
      <c r="Y52" s="196" t="e">
        <f>#REF!</f>
        <v>#REF!</v>
      </c>
      <c r="Z52" s="196" t="e">
        <f>#REF!</f>
        <v>#REF!</v>
      </c>
      <c r="AA52" s="201"/>
      <c r="AB52" s="196">
        <f>'Adopted FY20 Budget Fund'!$AH3</f>
        <v>0</v>
      </c>
      <c r="AC52" s="196">
        <f>'Adopted FY20 Budget Fund'!$AI3</f>
        <v>0</v>
      </c>
      <c r="AD52" s="196" t="e">
        <f>#REF!</f>
        <v>#REF!</v>
      </c>
      <c r="AE52" s="196" t="e">
        <f>#REF!</f>
        <v>#REF!</v>
      </c>
      <c r="AF52" s="201"/>
      <c r="AG52" s="196">
        <f>'Adopted FY20 Budget Fund'!$AJ3</f>
        <v>0</v>
      </c>
      <c r="AH52" s="196">
        <f>'Adopted FY20 Budget Fund'!$AK3</f>
        <v>0</v>
      </c>
      <c r="AI52" s="196" t="e">
        <f>#REF!</f>
        <v>#REF!</v>
      </c>
      <c r="AJ52" s="196" t="e">
        <f>#REF!</f>
        <v>#REF!</v>
      </c>
      <c r="AK52" s="201"/>
      <c r="AL52" s="196">
        <f>'Adopted FY20 Budget Fund'!$AL3</f>
        <v>0</v>
      </c>
      <c r="AM52" s="196">
        <f>'Adopted FY20 Budget Fund'!$AM3</f>
        <v>0</v>
      </c>
      <c r="AN52" s="196" t="e">
        <f>#REF!</f>
        <v>#REF!</v>
      </c>
      <c r="AO52" s="196" t="e">
        <f>#REF!</f>
        <v>#REF!</v>
      </c>
      <c r="AP52" s="201"/>
      <c r="AQ52" s="196">
        <f>'Adopted FY20 Budget Fund'!$AN3</f>
        <v>0</v>
      </c>
      <c r="AR52" s="196">
        <f>'Adopted FY20 Budget Fund'!$AO3</f>
        <v>0</v>
      </c>
      <c r="AS52" s="196" t="e">
        <f>#REF!</f>
        <v>#REF!</v>
      </c>
      <c r="AT52" s="196" t="e">
        <f>#REF!</f>
        <v>#REF!</v>
      </c>
      <c r="AU52" s="201"/>
      <c r="AV52" s="196">
        <f>'Adopted FY20 Budget Fund'!$AP3</f>
        <v>75000</v>
      </c>
      <c r="AW52" s="196">
        <f>'Adopted FY20 Budget Fund'!$AQ3</f>
        <v>0</v>
      </c>
      <c r="AX52" s="196" t="e">
        <f>#REF!</f>
        <v>#REF!</v>
      </c>
      <c r="AY52" s="196" t="e">
        <f>#REF!</f>
        <v>#REF!</v>
      </c>
      <c r="AZ52" s="201" t="e">
        <f>(SUM(AX52,AY52)-SUM(AW52,AV52))/SUM(AW52,AV52)</f>
        <v>#REF!</v>
      </c>
      <c r="BA52" s="196">
        <f>'Adopted FY20 Budget Fund'!$AR3</f>
        <v>0</v>
      </c>
      <c r="BB52" s="196">
        <f>'Adopted FY20 Budget Fund'!$AS3</f>
        <v>0</v>
      </c>
      <c r="BC52" s="196" t="e">
        <f>#REF!</f>
        <v>#REF!</v>
      </c>
      <c r="BD52" s="196" t="e">
        <f>#REF!</f>
        <v>#REF!</v>
      </c>
      <c r="BE52" s="197"/>
      <c r="BF52" s="196">
        <f>'Adopted FY20 Budget Fund'!$AT3</f>
        <v>0</v>
      </c>
      <c r="BG52" s="196">
        <f>'Adopted FY20 Budget Fund'!$AU3</f>
        <v>0</v>
      </c>
      <c r="BH52" s="196" t="e">
        <f>#REF!</f>
        <v>#REF!</v>
      </c>
      <c r="BI52" s="196" t="e">
        <f>#REF!</f>
        <v>#REF!</v>
      </c>
      <c r="BJ52" s="197"/>
      <c r="BK52" s="196">
        <f>'Adopted FY20 Budget Fund'!$AV3</f>
        <v>0</v>
      </c>
      <c r="BL52" s="196">
        <f>'Adopted FY20 Budget Fund'!$AW3</f>
        <v>0</v>
      </c>
      <c r="BM52" s="196" t="e">
        <f>#REF!</f>
        <v>#REF!</v>
      </c>
      <c r="BN52" s="196" t="e">
        <f>#REF!</f>
        <v>#REF!</v>
      </c>
      <c r="BO52" s="197"/>
      <c r="BP52" s="8">
        <f>+B52+C52+G52+M52+N52+W52+X52+AG52+AH52+AL52+AM52+AQ52+AR52+AV52+AW52+BA52+BB52+BF52+BG52+BK52+BL52+J52+R52+S52+AB52+AC52</f>
        <v>132000</v>
      </c>
      <c r="BQ52" s="206" t="e">
        <f>+D52+E52+H52+O52+P52+Y52+Z52+AI52+AJ52+AN52+AO52+AS52+AT52+AX52+AY52+BC52+BD52+BH52+BI52+BM52+BN52+U52+T52+K52+AD52+AE52</f>
        <v>#REF!</v>
      </c>
      <c r="BR52" s="204" t="e">
        <f>(BQ52-BP52)/BP52</f>
        <v>#REF!</v>
      </c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</row>
    <row r="53" spans="1:87" s="200" customFormat="1" ht="13.8" thickBot="1" x14ac:dyDescent="0.3">
      <c r="A53" s="207" t="s">
        <v>39</v>
      </c>
      <c r="B53" s="203">
        <f>SUM(B51:B52)</f>
        <v>0</v>
      </c>
      <c r="C53" s="203">
        <f>SUM(C51:C52)</f>
        <v>0</v>
      </c>
      <c r="D53" s="203" t="e">
        <f>SUM(D51:D52)</f>
        <v>#REF!</v>
      </c>
      <c r="E53" s="203" t="e">
        <f>SUM(E51:E52)</f>
        <v>#REF!</v>
      </c>
      <c r="F53" s="208"/>
      <c r="G53" s="203">
        <f>SUM(G51:G52)</f>
        <v>0</v>
      </c>
      <c r="H53" s="203" t="e">
        <f>SUM(H51:H52)</f>
        <v>#REF!</v>
      </c>
      <c r="I53" s="208"/>
      <c r="J53" s="203">
        <f>SUM(J51:J52)</f>
        <v>57000</v>
      </c>
      <c r="K53" s="203" t="e">
        <f>SUM(K51:K52)</f>
        <v>#REF!</v>
      </c>
      <c r="L53" s="208"/>
      <c r="M53" s="203">
        <f>SUM(M51:M52)</f>
        <v>364221</v>
      </c>
      <c r="N53" s="203">
        <f>SUM(N51:N52)</f>
        <v>0</v>
      </c>
      <c r="O53" s="203" t="e">
        <f>SUM(O51:O52)</f>
        <v>#REF!</v>
      </c>
      <c r="P53" s="203" t="e">
        <f>SUM(P51:P52)</f>
        <v>#REF!</v>
      </c>
      <c r="Q53" s="209" t="e">
        <f>(SUM(O53,P53)-SUM(N53,M53))/SUM(N53,M53)</f>
        <v>#REF!</v>
      </c>
      <c r="R53" s="203">
        <f>SUM(R51:R52)</f>
        <v>2453</v>
      </c>
      <c r="S53" s="203">
        <f>SUM(S51:S52)</f>
        <v>0</v>
      </c>
      <c r="T53" s="203" t="e">
        <f>SUM(T51:T52)</f>
        <v>#REF!</v>
      </c>
      <c r="U53" s="203" t="e">
        <f>SUM(U51:U52)</f>
        <v>#REF!</v>
      </c>
      <c r="V53" s="209" t="e">
        <f>(SUM(T53,U53)-SUM(S53,R53))/SUM(S53,R53)</f>
        <v>#REF!</v>
      </c>
      <c r="W53" s="203">
        <f>SUM(W51:W52)</f>
        <v>100226</v>
      </c>
      <c r="X53" s="203">
        <f>SUM(X51:X52)</f>
        <v>0</v>
      </c>
      <c r="Y53" s="203" t="e">
        <f>SUM(Y51:Y52)</f>
        <v>#REF!</v>
      </c>
      <c r="Z53" s="203" t="e">
        <f>SUM(Z51:Z52)</f>
        <v>#REF!</v>
      </c>
      <c r="AA53" s="209" t="e">
        <f>(SUM(Y53,Z53)-SUM(X53,W53))/SUM(X53,W53)</f>
        <v>#REF!</v>
      </c>
      <c r="AB53" s="203">
        <f>SUM(AB51:AB52)</f>
        <v>0</v>
      </c>
      <c r="AC53" s="203">
        <f>SUM(AC51:AC52)</f>
        <v>0</v>
      </c>
      <c r="AD53" s="203" t="e">
        <f>SUM(AD51:AD52)</f>
        <v>#REF!</v>
      </c>
      <c r="AE53" s="203" t="e">
        <f>SUM(AE51:AE52)</f>
        <v>#REF!</v>
      </c>
      <c r="AF53" s="209"/>
      <c r="AG53" s="203">
        <f>SUM(AG51:AG52)</f>
        <v>89027</v>
      </c>
      <c r="AH53" s="203">
        <f>SUM(AH51:AH52)</f>
        <v>0</v>
      </c>
      <c r="AI53" s="203" t="e">
        <f>SUM(AI51:AI52)</f>
        <v>#REF!</v>
      </c>
      <c r="AJ53" s="203" t="e">
        <f>SUM(AJ51:AJ52)</f>
        <v>#REF!</v>
      </c>
      <c r="AK53" s="209" t="e">
        <f>(SUM(AI53,AJ53)-SUM(AH53,AG53))/SUM(AH53,AG53)</f>
        <v>#REF!</v>
      </c>
      <c r="AL53" s="203">
        <f>SUM(AL51:AL52)</f>
        <v>7284</v>
      </c>
      <c r="AM53" s="203">
        <f>SUM(AM51:AM52)</f>
        <v>0</v>
      </c>
      <c r="AN53" s="203" t="e">
        <f>SUM(AN51:AN52)</f>
        <v>#REF!</v>
      </c>
      <c r="AO53" s="203" t="e">
        <f>SUM(AO51:AO52)</f>
        <v>#REF!</v>
      </c>
      <c r="AP53" s="209" t="e">
        <f>(SUM(AN53,AO53)-SUM(AM53,AL53))/SUM(AM53,AL53)</f>
        <v>#REF!</v>
      </c>
      <c r="AQ53" s="203">
        <f>SUM(AQ51:AQ52)</f>
        <v>41951</v>
      </c>
      <c r="AR53" s="203">
        <f>SUM(AR51:AR52)</f>
        <v>0</v>
      </c>
      <c r="AS53" s="203" t="e">
        <f>SUM(AS51:AS52)</f>
        <v>#REF!</v>
      </c>
      <c r="AT53" s="203" t="e">
        <f>SUM(AT51:AT52)</f>
        <v>#REF!</v>
      </c>
      <c r="AU53" s="209" t="e">
        <f>(SUM(AS53,AT53)-SUM(AR53,AQ53))/SUM(AR53,AQ53)</f>
        <v>#REF!</v>
      </c>
      <c r="AV53" s="203">
        <f>SUM(AV51:AV52)</f>
        <v>83209</v>
      </c>
      <c r="AW53" s="203">
        <f>SUM(AW51:AW52)</f>
        <v>0</v>
      </c>
      <c r="AX53" s="203" t="e">
        <f>SUM(AX51:AX52)</f>
        <v>#REF!</v>
      </c>
      <c r="AY53" s="203" t="e">
        <f>SUM(AY51:AY52)</f>
        <v>#REF!</v>
      </c>
      <c r="AZ53" s="209" t="e">
        <f>(SUM(AX53,AY53)-SUM(AW53,AV53))/SUM(AW53,AV53)</f>
        <v>#REF!</v>
      </c>
      <c r="BA53" s="203">
        <f>SUM(BA51:BA52)</f>
        <v>0</v>
      </c>
      <c r="BB53" s="203">
        <f>SUM(BB51:BB52)</f>
        <v>0</v>
      </c>
      <c r="BC53" s="203" t="e">
        <f>SUM(BC51:BC52)</f>
        <v>#REF!</v>
      </c>
      <c r="BD53" s="203" t="e">
        <f>SUM(BD51:BD52)</f>
        <v>#REF!</v>
      </c>
      <c r="BE53" s="208"/>
      <c r="BF53" s="203">
        <f>SUM(BF51:BF52)</f>
        <v>0</v>
      </c>
      <c r="BG53" s="203">
        <f>SUM(BG51:BG52)</f>
        <v>0</v>
      </c>
      <c r="BH53" s="203" t="e">
        <f>SUM(BH51:BH52)</f>
        <v>#REF!</v>
      </c>
      <c r="BI53" s="203" t="e">
        <f>SUM(BI51:BI52)</f>
        <v>#REF!</v>
      </c>
      <c r="BJ53" s="208"/>
      <c r="BK53" s="203">
        <f>SUM(BK51:BK52)</f>
        <v>0</v>
      </c>
      <c r="BL53" s="203">
        <f>SUM(BL51:BL52)</f>
        <v>0</v>
      </c>
      <c r="BM53" s="203" t="e">
        <f>SUM(BM51:BM52)</f>
        <v>#REF!</v>
      </c>
      <c r="BN53" s="203" t="e">
        <f>SUM(BN51:BN52)</f>
        <v>#REF!</v>
      </c>
      <c r="BO53" s="208"/>
      <c r="BP53" s="203">
        <f>SUM(BP51:BP52)</f>
        <v>745371</v>
      </c>
      <c r="BQ53" s="203" t="e">
        <f>SUM(BQ51:BQ52)</f>
        <v>#REF!</v>
      </c>
      <c r="BR53" s="205" t="e">
        <f>(BQ53-BP53)/BP53</f>
        <v>#REF!</v>
      </c>
      <c r="BS53" s="199"/>
      <c r="BT53" s="199"/>
      <c r="BU53" s="199"/>
      <c r="BV53" s="199"/>
      <c r="BW53" s="199"/>
      <c r="BX53" s="199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</row>
    <row r="54" spans="1:87" s="71" customFormat="1" ht="16.2" thickTop="1" x14ac:dyDescent="0.25">
      <c r="A54" s="191"/>
      <c r="B54" s="192"/>
      <c r="C54" s="192"/>
      <c r="D54" s="193"/>
      <c r="E54" s="193"/>
      <c r="F54" s="194"/>
      <c r="G54" s="192"/>
      <c r="H54" s="192"/>
      <c r="I54" s="194"/>
      <c r="J54" s="192"/>
      <c r="K54" s="192"/>
      <c r="L54" s="194"/>
      <c r="M54" s="192"/>
      <c r="N54" s="192"/>
      <c r="O54" s="193"/>
      <c r="P54" s="193"/>
      <c r="Q54" s="194"/>
      <c r="R54" s="192"/>
      <c r="S54" s="192"/>
      <c r="T54" s="193"/>
      <c r="U54" s="193"/>
      <c r="V54" s="194"/>
      <c r="W54" s="192"/>
      <c r="X54" s="192"/>
      <c r="Y54" s="193"/>
      <c r="Z54" s="193"/>
      <c r="AA54" s="194"/>
      <c r="AB54" s="192"/>
      <c r="AC54" s="192"/>
      <c r="AD54" s="193"/>
      <c r="AE54" s="193"/>
      <c r="AF54" s="194"/>
      <c r="AG54" s="192"/>
      <c r="AH54" s="192"/>
      <c r="AI54" s="193"/>
      <c r="AJ54" s="193"/>
      <c r="AK54" s="194"/>
      <c r="AL54" s="192"/>
      <c r="AM54" s="192"/>
      <c r="AN54" s="193"/>
      <c r="AO54" s="193"/>
      <c r="AP54" s="194"/>
      <c r="AQ54" s="192"/>
      <c r="AR54" s="192"/>
      <c r="AS54" s="193"/>
      <c r="AT54" s="193"/>
      <c r="AU54" s="194"/>
      <c r="AV54" s="192"/>
      <c r="AW54" s="192"/>
      <c r="AX54" s="193"/>
      <c r="AY54" s="193"/>
      <c r="AZ54" s="194"/>
      <c r="BA54" s="192"/>
      <c r="BB54" s="192"/>
      <c r="BC54" s="193"/>
      <c r="BD54" s="193"/>
      <c r="BE54" s="194"/>
      <c r="BF54" s="192"/>
      <c r="BG54" s="192"/>
      <c r="BH54" s="193"/>
      <c r="BI54" s="193"/>
      <c r="BJ54" s="194"/>
      <c r="BK54" s="192"/>
      <c r="BL54" s="192"/>
      <c r="BM54" s="193"/>
      <c r="BN54" s="193"/>
      <c r="BO54" s="194"/>
      <c r="BP54" s="192"/>
      <c r="BQ54" s="192"/>
      <c r="BR54" s="194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</row>
    <row r="55" spans="1:87" x14ac:dyDescent="0.25">
      <c r="A55" s="5" t="s">
        <v>129</v>
      </c>
      <c r="B55" s="8">
        <f>'Adopted FY20 Budget Fund'!$X107</f>
        <v>0</v>
      </c>
      <c r="C55" s="8">
        <f>'Adopted FY20 Budget Fund'!$Y107</f>
        <v>521464</v>
      </c>
      <c r="D55" s="75" t="e">
        <f>#REF!</f>
        <v>#REF!</v>
      </c>
      <c r="E55" s="75" t="e">
        <f>#REF!</f>
        <v>#REF!</v>
      </c>
      <c r="F55" s="182" t="e">
        <f>(SUM(D55,E55)-SUM(C55,B55))/SUM(C55,B55)</f>
        <v>#REF!</v>
      </c>
      <c r="G55" s="8">
        <f>'Adopted FY20 Budget Fund'!$Z107</f>
        <v>690888</v>
      </c>
      <c r="H55" s="8" t="e">
        <f>#REF!</f>
        <v>#REF!</v>
      </c>
      <c r="I55" s="182" t="e">
        <f>(H55-G55)/G55</f>
        <v>#REF!</v>
      </c>
      <c r="J55" s="8">
        <f>'Adopted FY20 Budget Fund'!$AA107</f>
        <v>0</v>
      </c>
      <c r="K55" s="8" t="e">
        <f>#REF!</f>
        <v>#REF!</v>
      </c>
      <c r="L55" s="182"/>
      <c r="M55" s="8">
        <f>'Adopted FY20 Budget Fund'!$AB107</f>
        <v>0</v>
      </c>
      <c r="N55" s="8">
        <f>'Adopted FY20 Budget Fund'!$AC107</f>
        <v>1800806</v>
      </c>
      <c r="O55" s="75" t="e">
        <f>#REF!</f>
        <v>#REF!</v>
      </c>
      <c r="P55" s="75" t="e">
        <f>#REF!</f>
        <v>#REF!</v>
      </c>
      <c r="Q55" s="182" t="e">
        <f>(SUM(O55,P55)-SUM(N55,M55))/SUM(N55,M55)</f>
        <v>#REF!</v>
      </c>
      <c r="R55" s="8">
        <f>'Adopted FY20 Budget Fund'!$AD107</f>
        <v>0</v>
      </c>
      <c r="S55" s="8">
        <f>'Adopted FY20 Budget Fund'!$AE107</f>
        <v>181596</v>
      </c>
      <c r="T55" s="75" t="e">
        <f>#REF!</f>
        <v>#REF!</v>
      </c>
      <c r="U55" s="75" t="e">
        <f>#REF!</f>
        <v>#REF!</v>
      </c>
      <c r="V55" s="182" t="e">
        <f>(SUM(T55,U55)-SUM(S55,R55))/SUM(S55,R55)</f>
        <v>#REF!</v>
      </c>
      <c r="W55" s="8">
        <f>'Adopted FY20 Budget Fund'!$AF107</f>
        <v>0</v>
      </c>
      <c r="X55" s="8">
        <f>'Adopted FY20 Budget Fund'!$AG107</f>
        <v>883433</v>
      </c>
      <c r="Y55" s="75" t="e">
        <f>#REF!</f>
        <v>#REF!</v>
      </c>
      <c r="Z55" s="75" t="e">
        <f>#REF!</f>
        <v>#REF!</v>
      </c>
      <c r="AA55" s="182" t="e">
        <f>(SUM(Y55,Z55)-SUM(X55,W55))/SUM(X55,W55)</f>
        <v>#REF!</v>
      </c>
      <c r="AB55" s="8">
        <f>'Adopted FY20 Budget Fund'!$AH107</f>
        <v>0</v>
      </c>
      <c r="AC55" s="8">
        <f>'Adopted FY20 Budget Fund'!$AI107</f>
        <v>0</v>
      </c>
      <c r="AD55" s="75" t="e">
        <f>#REF!</f>
        <v>#REF!</v>
      </c>
      <c r="AE55" s="75" t="e">
        <f>#REF!</f>
        <v>#REF!</v>
      </c>
      <c r="AF55" s="182"/>
      <c r="AG55" s="8">
        <f>'Adopted FY20 Budget Fund'!$AJ107</f>
        <v>0</v>
      </c>
      <c r="AH55" s="8">
        <f>'Adopted FY20 Budget Fund'!$AK107</f>
        <v>329786</v>
      </c>
      <c r="AI55" s="75" t="e">
        <f>#REF!</f>
        <v>#REF!</v>
      </c>
      <c r="AJ55" s="75" t="e">
        <f>#REF!</f>
        <v>#REF!</v>
      </c>
      <c r="AK55" s="182" t="e">
        <f>(SUM(AI55,AJ55)-SUM(AH55,AG55))/SUM(AH55,AG55)</f>
        <v>#REF!</v>
      </c>
      <c r="AL55" s="8">
        <f>'Adopted FY20 Budget Fund'!$AL107</f>
        <v>0</v>
      </c>
      <c r="AM55" s="8">
        <f>'Adopted FY20 Budget Fund'!$AM107</f>
        <v>44981</v>
      </c>
      <c r="AN55" s="75" t="e">
        <f>#REF!</f>
        <v>#REF!</v>
      </c>
      <c r="AO55" s="75" t="e">
        <f>#REF!</f>
        <v>#REF!</v>
      </c>
      <c r="AP55" s="182" t="e">
        <f>(SUM(AN55,AO55)-SUM(AM55,AL55))/SUM(AM55,AL55)</f>
        <v>#REF!</v>
      </c>
      <c r="AQ55" s="8">
        <f>'Adopted FY20 Budget Fund'!$AN107</f>
        <v>0</v>
      </c>
      <c r="AR55" s="8">
        <f>'Adopted FY20 Budget Fund'!$AO107</f>
        <v>437998</v>
      </c>
      <c r="AS55" s="75" t="e">
        <f>#REF!</f>
        <v>#REF!</v>
      </c>
      <c r="AT55" s="75" t="e">
        <f>#REF!</f>
        <v>#REF!</v>
      </c>
      <c r="AU55" s="182" t="e">
        <f>(SUM(AS55,AT55)-SUM(AR55,AQ55))/SUM(AR55,AQ55)</f>
        <v>#REF!</v>
      </c>
      <c r="AV55" s="8">
        <f>'Adopted FY20 Budget Fund'!$AP107</f>
        <v>0</v>
      </c>
      <c r="AW55" s="8">
        <f>'Adopted FY20 Budget Fund'!$AQ107</f>
        <v>121029</v>
      </c>
      <c r="AX55" s="75" t="e">
        <f>#REF!</f>
        <v>#REF!</v>
      </c>
      <c r="AY55" s="75" t="e">
        <f>#REF!</f>
        <v>#REF!</v>
      </c>
      <c r="AZ55" s="182" t="e">
        <f>(SUM(AX55,AY55)-SUM(AW55,AV55))/SUM(AW55,AV55)</f>
        <v>#REF!</v>
      </c>
      <c r="BA55" s="8">
        <f>'Adopted FY20 Budget Fund'!$AR107</f>
        <v>0</v>
      </c>
      <c r="BB55" s="8">
        <f>'Adopted FY20 Budget Fund'!$AS107</f>
        <v>543411</v>
      </c>
      <c r="BC55" s="75" t="e">
        <f>#REF!</f>
        <v>#REF!</v>
      </c>
      <c r="BD55" s="75" t="e">
        <f>#REF!</f>
        <v>#REF!</v>
      </c>
      <c r="BE55" s="182" t="e">
        <f>(SUM(BC55,BD55)-SUM(BB55,BA55))/SUM(BB55,BA55)</f>
        <v>#REF!</v>
      </c>
      <c r="BF55" s="8">
        <f>'Adopted FY20 Budget Fund'!$AT107</f>
        <v>0</v>
      </c>
      <c r="BG55" s="8">
        <f>'Adopted FY20 Budget Fund'!$AU107</f>
        <v>771975</v>
      </c>
      <c r="BH55" s="75" t="e">
        <f>#REF!</f>
        <v>#REF!</v>
      </c>
      <c r="BI55" s="75" t="e">
        <f>#REF!</f>
        <v>#REF!</v>
      </c>
      <c r="BJ55" s="182" t="e">
        <f>(SUM(BH55,BI55)-SUM(BG55,BF55))/SUM(BG55,BF55)</f>
        <v>#REF!</v>
      </c>
      <c r="BK55" s="8">
        <f>'Adopted FY20 Budget Fund'!$AV107</f>
        <v>0</v>
      </c>
      <c r="BL55" s="8">
        <f>'Adopted FY20 Budget Fund'!$AW107</f>
        <v>1150815</v>
      </c>
      <c r="BM55" s="75" t="e">
        <f>#REF!</f>
        <v>#REF!</v>
      </c>
      <c r="BN55" s="75" t="e">
        <f>#REF!</f>
        <v>#REF!</v>
      </c>
      <c r="BO55" s="182" t="e">
        <f>(SUM(BM55,BN55)-SUM(BL55,BK55))/SUM(BL55,BK55)</f>
        <v>#REF!</v>
      </c>
      <c r="BP55" s="8">
        <f t="shared" ref="BP55:BP62" si="11">+B55+C55+G55+M55+N55+W55+X55+AG55+AH55+AL55+AM55+AQ55+AR55+AV55+AW55+BA55+BB55+BF55+BG55+BK55+BL55+J55+R55+S55+AB55+AC55</f>
        <v>7478182</v>
      </c>
      <c r="BQ55" s="8" t="e">
        <f t="shared" ref="BQ55:BQ63" si="12">+D55+E55+H55+O55+P55+Y55+Z55+AI55+AJ55+AN55+AO55+AS55+AT55+AX55+AY55+BC55+BD55+BH55+BI55+BM55+BN55+U55+T55+K55+AD55+AE55</f>
        <v>#REF!</v>
      </c>
      <c r="BR55" s="182" t="e">
        <f>(BQ55-BP55)/BP55</f>
        <v>#REF!</v>
      </c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</row>
    <row r="56" spans="1:87" x14ac:dyDescent="0.25">
      <c r="A56" s="5" t="s">
        <v>181</v>
      </c>
      <c r="B56" s="8">
        <f>'Adopted FY20 Budget Fund'!$X108</f>
        <v>580280</v>
      </c>
      <c r="C56" s="8">
        <f>'Adopted FY20 Budget Fund'!$Y108</f>
        <v>95040</v>
      </c>
      <c r="D56" s="75" t="e">
        <f>#REF!</f>
        <v>#REF!</v>
      </c>
      <c r="E56" s="75" t="e">
        <f>#REF!</f>
        <v>#REF!</v>
      </c>
      <c r="F56" s="182" t="e">
        <f t="shared" ref="F56:F64" si="13">(SUM(D56,E56)-SUM(C56,B56))/SUM(C56,B56)</f>
        <v>#REF!</v>
      </c>
      <c r="G56" s="8">
        <f>'Adopted FY20 Budget Fund'!$Z108</f>
        <v>0</v>
      </c>
      <c r="H56" s="8" t="e">
        <f>#REF!</f>
        <v>#REF!</v>
      </c>
      <c r="I56" s="182"/>
      <c r="J56" s="8">
        <f>'Adopted FY20 Budget Fund'!$AA108</f>
        <v>66280</v>
      </c>
      <c r="K56" s="8" t="e">
        <f>#REF!</f>
        <v>#REF!</v>
      </c>
      <c r="L56" s="182"/>
      <c r="M56" s="8">
        <f>'Adopted FY20 Budget Fund'!$AB108</f>
        <v>0</v>
      </c>
      <c r="N56" s="8">
        <f>'Adopted FY20 Budget Fund'!$AC108</f>
        <v>0</v>
      </c>
      <c r="O56" s="75" t="e">
        <f>#REF!</f>
        <v>#REF!</v>
      </c>
      <c r="P56" s="75" t="e">
        <f>#REF!</f>
        <v>#REF!</v>
      </c>
      <c r="Q56" s="182"/>
      <c r="R56" s="8">
        <f>'Adopted FY20 Budget Fund'!$AD108</f>
        <v>0</v>
      </c>
      <c r="S56" s="8">
        <f>'Adopted FY20 Budget Fund'!$AE108</f>
        <v>0</v>
      </c>
      <c r="T56" s="75" t="e">
        <f>#REF!</f>
        <v>#REF!</v>
      </c>
      <c r="U56" s="75" t="e">
        <f>#REF!</f>
        <v>#REF!</v>
      </c>
      <c r="V56" s="182"/>
      <c r="W56" s="8">
        <f>'Adopted FY20 Budget Fund'!$AF108</f>
        <v>0</v>
      </c>
      <c r="X56" s="8">
        <f>'Adopted FY20 Budget Fund'!$AG108</f>
        <v>0</v>
      </c>
      <c r="Y56" s="75" t="e">
        <f>#REF!</f>
        <v>#REF!</v>
      </c>
      <c r="Z56" s="75" t="e">
        <f>#REF!</f>
        <v>#REF!</v>
      </c>
      <c r="AA56" s="182"/>
      <c r="AB56" s="8">
        <f>'Adopted FY20 Budget Fund'!$AH108</f>
        <v>79500</v>
      </c>
      <c r="AC56" s="8">
        <f>'Adopted FY20 Budget Fund'!$AI108</f>
        <v>0</v>
      </c>
      <c r="AD56" s="75" t="e">
        <f>#REF!</f>
        <v>#REF!</v>
      </c>
      <c r="AE56" s="75" t="e">
        <f>#REF!</f>
        <v>#REF!</v>
      </c>
      <c r="AF56" s="182" t="e">
        <f>(SUM(AD56,AE56)-SUM(AC56,AB56))/SUM(AC56,AB56)</f>
        <v>#REF!</v>
      </c>
      <c r="AG56" s="8">
        <f>'Adopted FY20 Budget Fund'!$AJ108</f>
        <v>0</v>
      </c>
      <c r="AH56" s="8">
        <f>'Adopted FY20 Budget Fund'!$AK108</f>
        <v>0</v>
      </c>
      <c r="AI56" s="75" t="e">
        <f>#REF!</f>
        <v>#REF!</v>
      </c>
      <c r="AJ56" s="75" t="e">
        <f>#REF!</f>
        <v>#REF!</v>
      </c>
      <c r="AK56" s="182"/>
      <c r="AL56" s="8">
        <f>'Adopted FY20 Budget Fund'!$AL108</f>
        <v>0</v>
      </c>
      <c r="AM56" s="8">
        <f>'Adopted FY20 Budget Fund'!$AM108</f>
        <v>0</v>
      </c>
      <c r="AN56" s="75" t="e">
        <f>#REF!</f>
        <v>#REF!</v>
      </c>
      <c r="AO56" s="75" t="e">
        <f>#REF!</f>
        <v>#REF!</v>
      </c>
      <c r="AP56" s="182"/>
      <c r="AQ56" s="8">
        <f>'Adopted FY20 Budget Fund'!$AN108</f>
        <v>0</v>
      </c>
      <c r="AR56" s="8">
        <f>'Adopted FY20 Budget Fund'!$AO108</f>
        <v>0</v>
      </c>
      <c r="AS56" s="75" t="e">
        <f>#REF!</f>
        <v>#REF!</v>
      </c>
      <c r="AT56" s="75" t="e">
        <f>#REF!</f>
        <v>#REF!</v>
      </c>
      <c r="AU56" s="182"/>
      <c r="AV56" s="8">
        <f>'Adopted FY20 Budget Fund'!$AP108</f>
        <v>7650</v>
      </c>
      <c r="AW56" s="8">
        <f>'Adopted FY20 Budget Fund'!$AQ108</f>
        <v>0</v>
      </c>
      <c r="AX56" s="75" t="e">
        <f>#REF!</f>
        <v>#REF!</v>
      </c>
      <c r="AY56" s="75" t="e">
        <f>#REF!</f>
        <v>#REF!</v>
      </c>
      <c r="AZ56" s="182" t="e">
        <f t="shared" ref="AZ56:AZ64" si="14">(SUM(AX56,AY56)-SUM(AW56,AV56))/SUM(AW56,AV56)</f>
        <v>#REF!</v>
      </c>
      <c r="BA56" s="8">
        <f>'Adopted FY20 Budget Fund'!$AR108</f>
        <v>54864</v>
      </c>
      <c r="BB56" s="8">
        <f>'Adopted FY20 Budget Fund'!$AS108</f>
        <v>0</v>
      </c>
      <c r="BC56" s="75" t="e">
        <f>#REF!</f>
        <v>#REF!</v>
      </c>
      <c r="BD56" s="75" t="e">
        <f>#REF!</f>
        <v>#REF!</v>
      </c>
      <c r="BE56" s="182" t="e">
        <f t="shared" ref="BE56:BE64" si="15">(SUM(BC56,BD56)-SUM(BB56,BA56))/SUM(BB56,BA56)</f>
        <v>#REF!</v>
      </c>
      <c r="BF56" s="8">
        <f>'Adopted FY20 Budget Fund'!$AT108</f>
        <v>5000</v>
      </c>
      <c r="BG56" s="8">
        <f>'Adopted FY20 Budget Fund'!$AU108</f>
        <v>0</v>
      </c>
      <c r="BH56" s="75" t="e">
        <f>#REF!</f>
        <v>#REF!</v>
      </c>
      <c r="BI56" s="75" t="e">
        <f>#REF!</f>
        <v>#REF!</v>
      </c>
      <c r="BJ56" s="182"/>
      <c r="BK56" s="8">
        <f>'Adopted FY20 Budget Fund'!$AV108</f>
        <v>356410</v>
      </c>
      <c r="BL56" s="8">
        <f>'Adopted FY20 Budget Fund'!$AW108</f>
        <v>0</v>
      </c>
      <c r="BM56" s="75" t="e">
        <f>#REF!</f>
        <v>#REF!</v>
      </c>
      <c r="BN56" s="75" t="e">
        <f>#REF!</f>
        <v>#REF!</v>
      </c>
      <c r="BO56" s="182" t="e">
        <f t="shared" ref="BO56:BO64" si="16">(SUM(BM56,BN56)-SUM(BL56,BK56))/SUM(BL56,BK56)</f>
        <v>#REF!</v>
      </c>
      <c r="BP56" s="8">
        <f t="shared" si="11"/>
        <v>1245024</v>
      </c>
      <c r="BQ56" s="8" t="e">
        <f t="shared" si="12"/>
        <v>#REF!</v>
      </c>
      <c r="BR56" s="182" t="e">
        <f t="shared" ref="BR56:BR62" si="17">(BQ56-BP56)/BP56</f>
        <v>#REF!</v>
      </c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</row>
    <row r="57" spans="1:87" x14ac:dyDescent="0.25">
      <c r="A57" s="5" t="s">
        <v>182</v>
      </c>
      <c r="B57" s="8">
        <f>'Adopted FY20 Budget Fund'!$X109</f>
        <v>36704</v>
      </c>
      <c r="C57" s="8">
        <f>'Adopted FY20 Budget Fund'!$Y109</f>
        <v>0</v>
      </c>
      <c r="D57" s="75" t="e">
        <f>#REF!</f>
        <v>#REF!</v>
      </c>
      <c r="E57" s="75" t="e">
        <f>#REF!</f>
        <v>#REF!</v>
      </c>
      <c r="F57" s="182" t="e">
        <f t="shared" si="13"/>
        <v>#REF!</v>
      </c>
      <c r="G57" s="8">
        <f>'Adopted FY20 Budget Fund'!$Z109</f>
        <v>0</v>
      </c>
      <c r="H57" s="8" t="e">
        <f>#REF!</f>
        <v>#REF!</v>
      </c>
      <c r="I57" s="182"/>
      <c r="J57" s="8">
        <f>'Adopted FY20 Budget Fund'!$AA109</f>
        <v>0</v>
      </c>
      <c r="K57" s="8" t="e">
        <f>#REF!</f>
        <v>#REF!</v>
      </c>
      <c r="L57" s="182"/>
      <c r="M57" s="8">
        <f>'Adopted FY20 Budget Fund'!$AB109</f>
        <v>468666</v>
      </c>
      <c r="N57" s="8">
        <f>'Adopted FY20 Budget Fund'!$AC109</f>
        <v>0</v>
      </c>
      <c r="O57" s="75" t="e">
        <f>#REF!</f>
        <v>#REF!</v>
      </c>
      <c r="P57" s="75" t="e">
        <f>#REF!</f>
        <v>#REF!</v>
      </c>
      <c r="Q57" s="182" t="e">
        <f>(SUM(O57,P57)-SUM(N57,M57))/SUM(N57,M57)</f>
        <v>#REF!</v>
      </c>
      <c r="R57" s="8">
        <f>'Adopted FY20 Budget Fund'!$AD109</f>
        <v>31827</v>
      </c>
      <c r="S57" s="8">
        <f>'Adopted FY20 Budget Fund'!$AE109</f>
        <v>0</v>
      </c>
      <c r="T57" s="75" t="e">
        <f>#REF!</f>
        <v>#REF!</v>
      </c>
      <c r="U57" s="75" t="e">
        <f>#REF!</f>
        <v>#REF!</v>
      </c>
      <c r="V57" s="182" t="e">
        <f>(SUM(T57,U57)-SUM(S57,R57))/SUM(S57,R57)</f>
        <v>#REF!</v>
      </c>
      <c r="W57" s="8">
        <f>'Adopted FY20 Budget Fund'!$AF109</f>
        <v>182630</v>
      </c>
      <c r="X57" s="8">
        <f>'Adopted FY20 Budget Fund'!$AG109</f>
        <v>0</v>
      </c>
      <c r="Y57" s="75" t="e">
        <f>#REF!</f>
        <v>#REF!</v>
      </c>
      <c r="Z57" s="75" t="e">
        <f>#REF!</f>
        <v>#REF!</v>
      </c>
      <c r="AA57" s="182" t="e">
        <f>(SUM(Y57,Z57)-SUM(X57,W57))/SUM(X57,W57)</f>
        <v>#REF!</v>
      </c>
      <c r="AB57" s="8">
        <f>'Adopted FY20 Budget Fund'!$AH109</f>
        <v>6000</v>
      </c>
      <c r="AC57" s="8">
        <f>'Adopted FY20 Budget Fund'!$AI109</f>
        <v>0</v>
      </c>
      <c r="AD57" s="75" t="e">
        <f>#REF!</f>
        <v>#REF!</v>
      </c>
      <c r="AE57" s="75" t="e">
        <f>#REF!</f>
        <v>#REF!</v>
      </c>
      <c r="AF57" s="182" t="e">
        <f>(SUM(AD57,AE57)-SUM(AC57,AB57))/SUM(AC57,AB57)</f>
        <v>#REF!</v>
      </c>
      <c r="AG57" s="8">
        <f>'Adopted FY20 Budget Fund'!$AJ109</f>
        <v>54379</v>
      </c>
      <c r="AH57" s="8">
        <f>'Adopted FY20 Budget Fund'!$AK109</f>
        <v>0</v>
      </c>
      <c r="AI57" s="75" t="e">
        <f>#REF!</f>
        <v>#REF!</v>
      </c>
      <c r="AJ57" s="75" t="e">
        <f>#REF!</f>
        <v>#REF!</v>
      </c>
      <c r="AK57" s="182" t="e">
        <f>(SUM(AI57,AJ57)-SUM(AH57,AG57))/SUM(AH57,AG57)</f>
        <v>#REF!</v>
      </c>
      <c r="AL57" s="8">
        <f>'Adopted FY20 Budget Fund'!$AL109</f>
        <v>7329</v>
      </c>
      <c r="AM57" s="8">
        <f>'Adopted FY20 Budget Fund'!$AM109</f>
        <v>0</v>
      </c>
      <c r="AN57" s="75" t="e">
        <f>#REF!</f>
        <v>#REF!</v>
      </c>
      <c r="AO57" s="75" t="e">
        <f>#REF!</f>
        <v>#REF!</v>
      </c>
      <c r="AP57" s="182" t="e">
        <f t="shared" ref="AP57:AP64" si="18">(SUM(AN57,AO57)-SUM(AM57,AL57))/SUM(AM57,AL57)</f>
        <v>#REF!</v>
      </c>
      <c r="AQ57" s="8">
        <f>'Adopted FY20 Budget Fund'!$AN109</f>
        <v>36946</v>
      </c>
      <c r="AR57" s="8">
        <f>'Adopted FY20 Budget Fund'!$AO109</f>
        <v>0</v>
      </c>
      <c r="AS57" s="75" t="e">
        <f>#REF!</f>
        <v>#REF!</v>
      </c>
      <c r="AT57" s="75" t="e">
        <f>#REF!</f>
        <v>#REF!</v>
      </c>
      <c r="AU57" s="182" t="e">
        <f>(SUM(AS57,AT57)-SUM(AR57,AQ57))/SUM(AR57,AQ57)</f>
        <v>#REF!</v>
      </c>
      <c r="AV57" s="8">
        <f>'Adopted FY20 Budget Fund'!$AP109</f>
        <v>43860</v>
      </c>
      <c r="AW57" s="8">
        <f>'Adopted FY20 Budget Fund'!$AQ109</f>
        <v>0</v>
      </c>
      <c r="AX57" s="75" t="e">
        <f>#REF!</f>
        <v>#REF!</v>
      </c>
      <c r="AY57" s="75" t="e">
        <f>#REF!</f>
        <v>#REF!</v>
      </c>
      <c r="AZ57" s="182" t="e">
        <f t="shared" si="14"/>
        <v>#REF!</v>
      </c>
      <c r="BA57" s="8">
        <f>'Adopted FY20 Budget Fund'!$AR109</f>
        <v>12400</v>
      </c>
      <c r="BB57" s="8">
        <f>'Adopted FY20 Budget Fund'!$AS109</f>
        <v>0</v>
      </c>
      <c r="BC57" s="75" t="e">
        <f>#REF!</f>
        <v>#REF!</v>
      </c>
      <c r="BD57" s="75" t="e">
        <f>#REF!</f>
        <v>#REF!</v>
      </c>
      <c r="BE57" s="182" t="e">
        <f t="shared" si="15"/>
        <v>#REF!</v>
      </c>
      <c r="BF57" s="8">
        <f>'Adopted FY20 Budget Fund'!$AT109</f>
        <v>21600</v>
      </c>
      <c r="BG57" s="8">
        <f>'Adopted FY20 Budget Fund'!$AU109</f>
        <v>0</v>
      </c>
      <c r="BH57" s="75" t="e">
        <f>#REF!</f>
        <v>#REF!</v>
      </c>
      <c r="BI57" s="75" t="e">
        <f>#REF!</f>
        <v>#REF!</v>
      </c>
      <c r="BJ57" s="182" t="e">
        <f t="shared" ref="BJ57:BJ64" si="19">(SUM(BH57,BI57)-SUM(BG57,BF57))/SUM(BG57,BF57)</f>
        <v>#REF!</v>
      </c>
      <c r="BK57" s="8">
        <f>'Adopted FY20 Budget Fund'!$AV109</f>
        <v>894100</v>
      </c>
      <c r="BL57" s="8">
        <f>'Adopted FY20 Budget Fund'!$AW109</f>
        <v>0</v>
      </c>
      <c r="BM57" s="75" t="e">
        <f>#REF!</f>
        <v>#REF!</v>
      </c>
      <c r="BN57" s="75" t="e">
        <f>#REF!</f>
        <v>#REF!</v>
      </c>
      <c r="BO57" s="182" t="e">
        <f t="shared" si="16"/>
        <v>#REF!</v>
      </c>
      <c r="BP57" s="8">
        <f t="shared" si="11"/>
        <v>1796441</v>
      </c>
      <c r="BQ57" s="8" t="e">
        <f t="shared" si="12"/>
        <v>#REF!</v>
      </c>
      <c r="BR57" s="182" t="e">
        <f t="shared" si="17"/>
        <v>#REF!</v>
      </c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</row>
    <row r="58" spans="1:87" x14ac:dyDescent="0.25">
      <c r="A58" s="5" t="s">
        <v>130</v>
      </c>
      <c r="B58" s="8">
        <f>'Adopted FY20 Budget Fund'!$X110</f>
        <v>108300</v>
      </c>
      <c r="C58" s="8">
        <f>'Adopted FY20 Budget Fund'!$Y110</f>
        <v>0</v>
      </c>
      <c r="D58" s="75" t="e">
        <f>#REF!</f>
        <v>#REF!</v>
      </c>
      <c r="E58" s="75" t="e">
        <f>#REF!</f>
        <v>#REF!</v>
      </c>
      <c r="F58" s="182" t="e">
        <f t="shared" si="13"/>
        <v>#REF!</v>
      </c>
      <c r="G58" s="8">
        <f>'Adopted FY20 Budget Fund'!$Z110</f>
        <v>0</v>
      </c>
      <c r="H58" s="8" t="e">
        <f>#REF!</f>
        <v>#REF!</v>
      </c>
      <c r="I58" s="182"/>
      <c r="J58" s="8">
        <f>'Adopted FY20 Budget Fund'!$AA110</f>
        <v>0</v>
      </c>
      <c r="K58" s="8" t="e">
        <f>#REF!</f>
        <v>#REF!</v>
      </c>
      <c r="L58" s="182"/>
      <c r="M58" s="8">
        <f>'Adopted FY20 Budget Fund'!$AB110</f>
        <v>0</v>
      </c>
      <c r="N58" s="8">
        <f>'Adopted FY20 Budget Fund'!$AC110</f>
        <v>0</v>
      </c>
      <c r="O58" s="75" t="e">
        <f>#REF!</f>
        <v>#REF!</v>
      </c>
      <c r="P58" s="75" t="e">
        <f>#REF!</f>
        <v>#REF!</v>
      </c>
      <c r="Q58" s="182"/>
      <c r="R58" s="8">
        <f>'Adopted FY20 Budget Fund'!$AD110</f>
        <v>0</v>
      </c>
      <c r="S58" s="8">
        <f>'Adopted FY20 Budget Fund'!$AE110</f>
        <v>0</v>
      </c>
      <c r="T58" s="75" t="e">
        <f>#REF!</f>
        <v>#REF!</v>
      </c>
      <c r="U58" s="75" t="e">
        <f>#REF!</f>
        <v>#REF!</v>
      </c>
      <c r="V58" s="182"/>
      <c r="W58" s="8">
        <f>'Adopted FY20 Budget Fund'!$AF110</f>
        <v>0</v>
      </c>
      <c r="X58" s="8">
        <f>'Adopted FY20 Budget Fund'!$AG110</f>
        <v>0</v>
      </c>
      <c r="Y58" s="75" t="e">
        <f>#REF!</f>
        <v>#REF!</v>
      </c>
      <c r="Z58" s="75" t="e">
        <f>#REF!</f>
        <v>#REF!</v>
      </c>
      <c r="AA58" s="182"/>
      <c r="AB58" s="8">
        <f>'Adopted FY20 Budget Fund'!$AH110</f>
        <v>42000</v>
      </c>
      <c r="AC58" s="8">
        <f>'Adopted FY20 Budget Fund'!$AI110</f>
        <v>0</v>
      </c>
      <c r="AD58" s="75" t="e">
        <f>#REF!</f>
        <v>#REF!</v>
      </c>
      <c r="AE58" s="75" t="e">
        <f>#REF!</f>
        <v>#REF!</v>
      </c>
      <c r="AF58" s="182"/>
      <c r="AG58" s="8">
        <f>'Adopted FY20 Budget Fund'!$AJ110</f>
        <v>0</v>
      </c>
      <c r="AH58" s="8">
        <f>'Adopted FY20 Budget Fund'!$AK110</f>
        <v>0</v>
      </c>
      <c r="AI58" s="75" t="e">
        <f>#REF!</f>
        <v>#REF!</v>
      </c>
      <c r="AJ58" s="75" t="e">
        <f>#REF!</f>
        <v>#REF!</v>
      </c>
      <c r="AK58" s="182"/>
      <c r="AL58" s="8">
        <f>'Adopted FY20 Budget Fund'!$AL110</f>
        <v>0</v>
      </c>
      <c r="AM58" s="8">
        <f>'Adopted FY20 Budget Fund'!$AM110</f>
        <v>0</v>
      </c>
      <c r="AN58" s="75" t="e">
        <f>#REF!</f>
        <v>#REF!</v>
      </c>
      <c r="AO58" s="75" t="e">
        <f>#REF!</f>
        <v>#REF!</v>
      </c>
      <c r="AP58" s="182"/>
      <c r="AQ58" s="8">
        <f>'Adopted FY20 Budget Fund'!$AN110</f>
        <v>0</v>
      </c>
      <c r="AR58" s="8">
        <f>'Adopted FY20 Budget Fund'!$AO110</f>
        <v>0</v>
      </c>
      <c r="AS58" s="75" t="e">
        <f>#REF!</f>
        <v>#REF!</v>
      </c>
      <c r="AT58" s="75" t="e">
        <f>#REF!</f>
        <v>#REF!</v>
      </c>
      <c r="AU58" s="182"/>
      <c r="AV58" s="8">
        <f>'Adopted FY20 Budget Fund'!$AP110</f>
        <v>0</v>
      </c>
      <c r="AW58" s="8">
        <f>'Adopted FY20 Budget Fund'!$AQ110</f>
        <v>0</v>
      </c>
      <c r="AX58" s="75" t="e">
        <f>#REF!</f>
        <v>#REF!</v>
      </c>
      <c r="AY58" s="75" t="e">
        <f>#REF!</f>
        <v>#REF!</v>
      </c>
      <c r="AZ58" s="182"/>
      <c r="BA58" s="8">
        <f>'Adopted FY20 Budget Fund'!$AR110</f>
        <v>25320</v>
      </c>
      <c r="BB58" s="8">
        <f>'Adopted FY20 Budget Fund'!$AS110</f>
        <v>0</v>
      </c>
      <c r="BC58" s="75" t="e">
        <f>#REF!</f>
        <v>#REF!</v>
      </c>
      <c r="BD58" s="75" t="e">
        <f>#REF!</f>
        <v>#REF!</v>
      </c>
      <c r="BE58" s="182" t="e">
        <f t="shared" si="15"/>
        <v>#REF!</v>
      </c>
      <c r="BF58" s="8">
        <f>'Adopted FY20 Budget Fund'!$AT110</f>
        <v>0</v>
      </c>
      <c r="BG58" s="8">
        <f>'Adopted FY20 Budget Fund'!$AU110</f>
        <v>0</v>
      </c>
      <c r="BH58" s="75" t="e">
        <f>#REF!</f>
        <v>#REF!</v>
      </c>
      <c r="BI58" s="75" t="e">
        <f>#REF!</f>
        <v>#REF!</v>
      </c>
      <c r="BJ58" s="182"/>
      <c r="BK58" s="8">
        <f>'Adopted FY20 Budget Fund'!$AV110</f>
        <v>0</v>
      </c>
      <c r="BL58" s="8">
        <f>'Adopted FY20 Budget Fund'!$AW110</f>
        <v>0</v>
      </c>
      <c r="BM58" s="75" t="e">
        <f>#REF!</f>
        <v>#REF!</v>
      </c>
      <c r="BN58" s="75" t="e">
        <f>#REF!</f>
        <v>#REF!</v>
      </c>
      <c r="BO58" s="182"/>
      <c r="BP58" s="8">
        <f t="shared" si="11"/>
        <v>175620</v>
      </c>
      <c r="BQ58" s="8" t="e">
        <f t="shared" si="12"/>
        <v>#REF!</v>
      </c>
      <c r="BR58" s="182" t="e">
        <f t="shared" si="17"/>
        <v>#REF!</v>
      </c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</row>
    <row r="59" spans="1:87" x14ac:dyDescent="0.25">
      <c r="A59" s="5" t="s">
        <v>131</v>
      </c>
      <c r="B59" s="8">
        <f>'Adopted FY20 Budget Fund'!$X111</f>
        <v>0</v>
      </c>
      <c r="C59" s="8">
        <f>'Adopted FY20 Budget Fund'!$Y111</f>
        <v>504</v>
      </c>
      <c r="D59" s="75" t="e">
        <f>#REF!</f>
        <v>#REF!</v>
      </c>
      <c r="E59" s="75" t="e">
        <f>#REF!</f>
        <v>#REF!</v>
      </c>
      <c r="F59" s="182" t="e">
        <f t="shared" si="13"/>
        <v>#REF!</v>
      </c>
      <c r="G59" s="8">
        <f>'Adopted FY20 Budget Fund'!$Z111</f>
        <v>0</v>
      </c>
      <c r="H59" s="8" t="e">
        <f>#REF!</f>
        <v>#REF!</v>
      </c>
      <c r="I59" s="182"/>
      <c r="J59" s="8">
        <f>'Adopted FY20 Budget Fund'!$AA111</f>
        <v>12000</v>
      </c>
      <c r="K59" s="8" t="e">
        <f>#REF!</f>
        <v>#REF!</v>
      </c>
      <c r="L59" s="182"/>
      <c r="M59" s="8">
        <f>'Adopted FY20 Budget Fund'!$AB111</f>
        <v>87555</v>
      </c>
      <c r="N59" s="8">
        <f>'Adopted FY20 Budget Fund'!$AC111</f>
        <v>36473</v>
      </c>
      <c r="O59" s="75" t="e">
        <f>#REF!</f>
        <v>#REF!</v>
      </c>
      <c r="P59" s="75" t="e">
        <f>#REF!</f>
        <v>#REF!</v>
      </c>
      <c r="Q59" s="182" t="e">
        <f>(SUM(O59,P59)-SUM(N59,M59))/SUM(N59,M59)</f>
        <v>#REF!</v>
      </c>
      <c r="R59" s="8">
        <f>'Adopted FY20 Budget Fund'!$AD111</f>
        <v>10891</v>
      </c>
      <c r="S59" s="8">
        <f>'Adopted FY20 Budget Fund'!$AE111</f>
        <v>4009</v>
      </c>
      <c r="T59" s="75" t="e">
        <f>#REF!</f>
        <v>#REF!</v>
      </c>
      <c r="U59" s="75" t="e">
        <f>#REF!</f>
        <v>#REF!</v>
      </c>
      <c r="V59" s="182" t="e">
        <f>(SUM(T59,U59)-SUM(S59,R59))/SUM(S59,R59)</f>
        <v>#REF!</v>
      </c>
      <c r="W59" s="8">
        <f>'Adopted FY20 Budget Fund'!$AF111</f>
        <v>61451</v>
      </c>
      <c r="X59" s="8">
        <f>'Adopted FY20 Budget Fund'!$AG111</f>
        <v>19177</v>
      </c>
      <c r="Y59" s="75" t="e">
        <f>#REF!</f>
        <v>#REF!</v>
      </c>
      <c r="Z59" s="75" t="e">
        <f>#REF!</f>
        <v>#REF!</v>
      </c>
      <c r="AA59" s="182" t="e">
        <f>(SUM(Y59,Z59)-SUM(X59,W59))/SUM(X59,W59)</f>
        <v>#REF!</v>
      </c>
      <c r="AB59" s="8">
        <f>'Adopted FY20 Budget Fund'!$AH111</f>
        <v>0</v>
      </c>
      <c r="AC59" s="8">
        <f>'Adopted FY20 Budget Fund'!$AI111</f>
        <v>0</v>
      </c>
      <c r="AD59" s="75" t="e">
        <f>#REF!</f>
        <v>#REF!</v>
      </c>
      <c r="AE59" s="75" t="e">
        <f>#REF!</f>
        <v>#REF!</v>
      </c>
      <c r="AF59" s="182"/>
      <c r="AG59" s="8">
        <f>'Adopted FY20 Budget Fund'!$AJ111</f>
        <v>18607</v>
      </c>
      <c r="AH59" s="8">
        <f>'Adopted FY20 Budget Fund'!$AK111</f>
        <v>7280</v>
      </c>
      <c r="AI59" s="75" t="e">
        <f>#REF!</f>
        <v>#REF!</v>
      </c>
      <c r="AJ59" s="75" t="e">
        <f>#REF!</f>
        <v>#REF!</v>
      </c>
      <c r="AK59" s="182" t="e">
        <f>(SUM(AI59,AJ59)-SUM(AH59,AG59))/SUM(AH59,AG59)</f>
        <v>#REF!</v>
      </c>
      <c r="AL59" s="8">
        <f>'Adopted FY20 Budget Fund'!$AL111</f>
        <v>2510</v>
      </c>
      <c r="AM59" s="8">
        <f>'Adopted FY20 Budget Fund'!$AM111</f>
        <v>993</v>
      </c>
      <c r="AN59" s="75" t="e">
        <f>#REF!</f>
        <v>#REF!</v>
      </c>
      <c r="AO59" s="75" t="e">
        <f>#REF!</f>
        <v>#REF!</v>
      </c>
      <c r="AP59" s="182" t="e">
        <f t="shared" si="18"/>
        <v>#REF!</v>
      </c>
      <c r="AQ59" s="8">
        <f>'Adopted FY20 Budget Fund'!$AN111</f>
        <v>12640</v>
      </c>
      <c r="AR59" s="8">
        <f>'Adopted FY20 Budget Fund'!$AO111</f>
        <v>9669</v>
      </c>
      <c r="AS59" s="75" t="e">
        <f>#REF!</f>
        <v>#REF!</v>
      </c>
      <c r="AT59" s="75" t="e">
        <f>#REF!</f>
        <v>#REF!</v>
      </c>
      <c r="AU59" s="182" t="e">
        <f>(SUM(AS59,AT59)-SUM(AR59,AQ59))/SUM(AR59,AQ59)</f>
        <v>#REF!</v>
      </c>
      <c r="AV59" s="8">
        <f>'Adopted FY20 Budget Fund'!$AP111</f>
        <v>14956</v>
      </c>
      <c r="AW59" s="8">
        <f>'Adopted FY20 Budget Fund'!$AQ111</f>
        <v>2673</v>
      </c>
      <c r="AX59" s="75" t="e">
        <f>#REF!</f>
        <v>#REF!</v>
      </c>
      <c r="AY59" s="75" t="e">
        <f>#REF!</f>
        <v>#REF!</v>
      </c>
      <c r="AZ59" s="182" t="e">
        <f t="shared" si="14"/>
        <v>#REF!</v>
      </c>
      <c r="BA59" s="8">
        <f>'Adopted FY20 Budget Fund'!$AR111</f>
        <v>0</v>
      </c>
      <c r="BB59" s="8">
        <f>'Adopted FY20 Budget Fund'!$AS111</f>
        <v>480</v>
      </c>
      <c r="BC59" s="75" t="e">
        <f>#REF!</f>
        <v>#REF!</v>
      </c>
      <c r="BD59" s="75" t="e">
        <f>#REF!</f>
        <v>#REF!</v>
      </c>
      <c r="BE59" s="182" t="e">
        <f t="shared" si="15"/>
        <v>#REF!</v>
      </c>
      <c r="BF59" s="8">
        <f>'Adopted FY20 Budget Fund'!$AT111</f>
        <v>1992</v>
      </c>
      <c r="BG59" s="8">
        <f>'Adopted FY20 Budget Fund'!$AU111</f>
        <v>720</v>
      </c>
      <c r="BH59" s="75" t="e">
        <f>#REF!</f>
        <v>#REF!</v>
      </c>
      <c r="BI59" s="75" t="e">
        <f>#REF!</f>
        <v>#REF!</v>
      </c>
      <c r="BJ59" s="182" t="e">
        <f t="shared" si="19"/>
        <v>#REF!</v>
      </c>
      <c r="BK59" s="8">
        <f>'Adopted FY20 Budget Fund'!$AV111</f>
        <v>18132</v>
      </c>
      <c r="BL59" s="8">
        <f>'Adopted FY20 Budget Fund'!$AW111</f>
        <v>12864</v>
      </c>
      <c r="BM59" s="75" t="e">
        <f>#REF!</f>
        <v>#REF!</v>
      </c>
      <c r="BN59" s="75" t="e">
        <f>#REF!</f>
        <v>#REF!</v>
      </c>
      <c r="BO59" s="182" t="e">
        <f t="shared" si="16"/>
        <v>#REF!</v>
      </c>
      <c r="BP59" s="8">
        <f t="shared" si="11"/>
        <v>335576</v>
      </c>
      <c r="BQ59" s="8" t="e">
        <f t="shared" si="12"/>
        <v>#REF!</v>
      </c>
      <c r="BR59" s="182" t="e">
        <f t="shared" si="17"/>
        <v>#REF!</v>
      </c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</row>
    <row r="60" spans="1:87" x14ac:dyDescent="0.25">
      <c r="A60" s="5" t="s">
        <v>90</v>
      </c>
      <c r="B60" s="8">
        <f>'Adopted FY20 Budget Fund'!$X112</f>
        <v>0</v>
      </c>
      <c r="C60" s="8">
        <f>'Adopted FY20 Budget Fund'!$Y112</f>
        <v>0</v>
      </c>
      <c r="D60" s="75" t="e">
        <f>#REF!</f>
        <v>#REF!</v>
      </c>
      <c r="E60" s="75" t="e">
        <f>#REF!</f>
        <v>#REF!</v>
      </c>
      <c r="F60" s="182"/>
      <c r="G60" s="8">
        <f>'Adopted FY20 Budget Fund'!$Z112</f>
        <v>0</v>
      </c>
      <c r="H60" s="8" t="e">
        <f>#REF!</f>
        <v>#REF!</v>
      </c>
      <c r="I60" s="182"/>
      <c r="J60" s="8">
        <f>'Adopted FY20 Budget Fund'!$AA112</f>
        <v>0</v>
      </c>
      <c r="K60" s="8" t="e">
        <f>#REF!</f>
        <v>#REF!</v>
      </c>
      <c r="L60" s="182"/>
      <c r="M60" s="8">
        <f>'Adopted FY20 Budget Fund'!$AB112</f>
        <v>0</v>
      </c>
      <c r="N60" s="8">
        <f>'Adopted FY20 Budget Fund'!$AC112</f>
        <v>0</v>
      </c>
      <c r="O60" s="75" t="e">
        <f>#REF!</f>
        <v>#REF!</v>
      </c>
      <c r="P60" s="75" t="e">
        <f>#REF!</f>
        <v>#REF!</v>
      </c>
      <c r="Q60" s="182"/>
      <c r="R60" s="8">
        <f>'Adopted FY20 Budget Fund'!$AD112</f>
        <v>0</v>
      </c>
      <c r="S60" s="8">
        <f>'Adopted FY20 Budget Fund'!$AE112</f>
        <v>0</v>
      </c>
      <c r="T60" s="75" t="e">
        <f>#REF!</f>
        <v>#REF!</v>
      </c>
      <c r="U60" s="75" t="e">
        <f>#REF!</f>
        <v>#REF!</v>
      </c>
      <c r="V60" s="182"/>
      <c r="W60" s="8">
        <f>'Adopted FY20 Budget Fund'!$AF112</f>
        <v>0</v>
      </c>
      <c r="X60" s="8">
        <f>'Adopted FY20 Budget Fund'!$AG112</f>
        <v>0</v>
      </c>
      <c r="Y60" s="75" t="e">
        <f>#REF!</f>
        <v>#REF!</v>
      </c>
      <c r="Z60" s="75" t="e">
        <f>#REF!</f>
        <v>#REF!</v>
      </c>
      <c r="AA60" s="182"/>
      <c r="AB60" s="8">
        <f>'Adopted FY20 Budget Fund'!$AH112</f>
        <v>0</v>
      </c>
      <c r="AC60" s="8">
        <f>'Adopted FY20 Budget Fund'!$AI112</f>
        <v>0</v>
      </c>
      <c r="AD60" s="75" t="e">
        <f>#REF!</f>
        <v>#REF!</v>
      </c>
      <c r="AE60" s="75" t="e">
        <f>#REF!</f>
        <v>#REF!</v>
      </c>
      <c r="AF60" s="182"/>
      <c r="AG60" s="8">
        <f>'Adopted FY20 Budget Fund'!$AJ112</f>
        <v>0</v>
      </c>
      <c r="AH60" s="8">
        <f>'Adopted FY20 Budget Fund'!$AK112</f>
        <v>0</v>
      </c>
      <c r="AI60" s="75" t="e">
        <f>#REF!</f>
        <v>#REF!</v>
      </c>
      <c r="AJ60" s="75" t="e">
        <f>#REF!</f>
        <v>#REF!</v>
      </c>
      <c r="AK60" s="182"/>
      <c r="AL60" s="8">
        <f>'Adopted FY20 Budget Fund'!$AL112</f>
        <v>20000</v>
      </c>
      <c r="AM60" s="8">
        <f>'Adopted FY20 Budget Fund'!$AM112</f>
        <v>0</v>
      </c>
      <c r="AN60" s="75" t="e">
        <f>#REF!</f>
        <v>#REF!</v>
      </c>
      <c r="AO60" s="75" t="e">
        <f>#REF!</f>
        <v>#REF!</v>
      </c>
      <c r="AP60" s="182" t="e">
        <f t="shared" si="18"/>
        <v>#REF!</v>
      </c>
      <c r="AQ60" s="8">
        <f>'Adopted FY20 Budget Fund'!$AN112</f>
        <v>0</v>
      </c>
      <c r="AR60" s="8">
        <f>'Adopted FY20 Budget Fund'!$AO112</f>
        <v>0</v>
      </c>
      <c r="AS60" s="75" t="e">
        <f>#REF!</f>
        <v>#REF!</v>
      </c>
      <c r="AT60" s="75" t="e">
        <f>#REF!</f>
        <v>#REF!</v>
      </c>
      <c r="AU60" s="182"/>
      <c r="AV60" s="8">
        <f>'Adopted FY20 Budget Fund'!$AP112</f>
        <v>75000</v>
      </c>
      <c r="AW60" s="8">
        <f>'Adopted FY20 Budget Fund'!$AQ112</f>
        <v>0</v>
      </c>
      <c r="AX60" s="75" t="e">
        <f>#REF!</f>
        <v>#REF!</v>
      </c>
      <c r="AY60" s="75" t="e">
        <f>#REF!</f>
        <v>#REF!</v>
      </c>
      <c r="AZ60" s="182" t="e">
        <f t="shared" si="14"/>
        <v>#REF!</v>
      </c>
      <c r="BA60" s="8">
        <f>'Adopted FY20 Budget Fund'!$AR112</f>
        <v>0</v>
      </c>
      <c r="BB60" s="8">
        <f>'Adopted FY20 Budget Fund'!$AS112</f>
        <v>0</v>
      </c>
      <c r="BC60" s="75" t="e">
        <f>#REF!</f>
        <v>#REF!</v>
      </c>
      <c r="BD60" s="75" t="e">
        <f>#REF!</f>
        <v>#REF!</v>
      </c>
      <c r="BE60" s="182"/>
      <c r="BF60" s="8">
        <f>'Adopted FY20 Budget Fund'!$AT112</f>
        <v>0</v>
      </c>
      <c r="BG60" s="8">
        <f>'Adopted FY20 Budget Fund'!$AU112</f>
        <v>0</v>
      </c>
      <c r="BH60" s="75" t="e">
        <f>#REF!</f>
        <v>#REF!</v>
      </c>
      <c r="BI60" s="75" t="e">
        <f>#REF!</f>
        <v>#REF!</v>
      </c>
      <c r="BJ60" s="182"/>
      <c r="BK60" s="8">
        <f>'Adopted FY20 Budget Fund'!$AV112</f>
        <v>0</v>
      </c>
      <c r="BL60" s="8">
        <f>'Adopted FY20 Budget Fund'!$AW112</f>
        <v>0</v>
      </c>
      <c r="BM60" s="75" t="e">
        <f>#REF!</f>
        <v>#REF!</v>
      </c>
      <c r="BN60" s="75" t="e">
        <f>#REF!</f>
        <v>#REF!</v>
      </c>
      <c r="BO60" s="182"/>
      <c r="BP60" s="8">
        <f t="shared" si="11"/>
        <v>95000</v>
      </c>
      <c r="BQ60" s="8" t="e">
        <f t="shared" si="12"/>
        <v>#REF!</v>
      </c>
      <c r="BR60" s="182" t="e">
        <f t="shared" si="17"/>
        <v>#REF!</v>
      </c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</row>
    <row r="61" spans="1:87" x14ac:dyDescent="0.25">
      <c r="A61" s="5" t="s">
        <v>132</v>
      </c>
      <c r="B61" s="8">
        <f>'Adopted FY20 Budget Fund'!$X113</f>
        <v>300</v>
      </c>
      <c r="C61" s="8">
        <f>'Adopted FY20 Budget Fund'!$Y113</f>
        <v>57200</v>
      </c>
      <c r="D61" s="75" t="e">
        <f>#REF!</f>
        <v>#REF!</v>
      </c>
      <c r="E61" s="75" t="e">
        <f>#REF!</f>
        <v>#REF!</v>
      </c>
      <c r="F61" s="182" t="e">
        <f t="shared" si="13"/>
        <v>#REF!</v>
      </c>
      <c r="G61" s="8">
        <f>'Adopted FY20 Budget Fund'!$Z113</f>
        <v>31700</v>
      </c>
      <c r="H61" s="8" t="e">
        <f>#REF!</f>
        <v>#REF!</v>
      </c>
      <c r="I61" s="182" t="e">
        <f>(H61-G61)/G61</f>
        <v>#REF!</v>
      </c>
      <c r="J61" s="8">
        <f>'Adopted FY20 Budget Fund'!$AA113</f>
        <v>0</v>
      </c>
      <c r="K61" s="8" t="e">
        <f>#REF!</f>
        <v>#REF!</v>
      </c>
      <c r="L61" s="182"/>
      <c r="M61" s="8">
        <f>'Adopted FY20 Budget Fund'!$AB113</f>
        <v>0</v>
      </c>
      <c r="N61" s="8">
        <f>'Adopted FY20 Budget Fund'!$AC113</f>
        <v>0</v>
      </c>
      <c r="O61" s="75" t="e">
        <f>#REF!</f>
        <v>#REF!</v>
      </c>
      <c r="P61" s="75" t="e">
        <f>#REF!</f>
        <v>#REF!</v>
      </c>
      <c r="Q61" s="182"/>
      <c r="R61" s="8">
        <f>'Adopted FY20 Budget Fund'!$AD113</f>
        <v>0</v>
      </c>
      <c r="S61" s="8">
        <f>'Adopted FY20 Budget Fund'!$AE113</f>
        <v>0</v>
      </c>
      <c r="T61" s="75" t="e">
        <f>#REF!</f>
        <v>#REF!</v>
      </c>
      <c r="U61" s="75" t="e">
        <f>#REF!</f>
        <v>#REF!</v>
      </c>
      <c r="V61" s="182"/>
      <c r="W61" s="8">
        <f>'Adopted FY20 Budget Fund'!$AF113</f>
        <v>0</v>
      </c>
      <c r="X61" s="8">
        <f>'Adopted FY20 Budget Fund'!$AG113</f>
        <v>0</v>
      </c>
      <c r="Y61" s="75" t="e">
        <f>#REF!</f>
        <v>#REF!</v>
      </c>
      <c r="Z61" s="75" t="e">
        <f>#REF!</f>
        <v>#REF!</v>
      </c>
      <c r="AA61" s="182"/>
      <c r="AB61" s="8">
        <f>'Adopted FY20 Budget Fund'!$AH113</f>
        <v>0</v>
      </c>
      <c r="AC61" s="8">
        <f>'Adopted FY20 Budget Fund'!$AI113</f>
        <v>0</v>
      </c>
      <c r="AD61" s="75" t="e">
        <f>#REF!</f>
        <v>#REF!</v>
      </c>
      <c r="AE61" s="75" t="e">
        <f>#REF!</f>
        <v>#REF!</v>
      </c>
      <c r="AF61" s="182"/>
      <c r="AG61" s="8">
        <f>'Adopted FY20 Budget Fund'!$AJ113</f>
        <v>0</v>
      </c>
      <c r="AH61" s="8">
        <f>'Adopted FY20 Budget Fund'!$AK113</f>
        <v>0</v>
      </c>
      <c r="AI61" s="75" t="e">
        <f>#REF!</f>
        <v>#REF!</v>
      </c>
      <c r="AJ61" s="75" t="e">
        <f>#REF!</f>
        <v>#REF!</v>
      </c>
      <c r="AK61" s="182"/>
      <c r="AL61" s="8">
        <f>'Adopted FY20 Budget Fund'!$AL113</f>
        <v>0</v>
      </c>
      <c r="AM61" s="8">
        <f>'Adopted FY20 Budget Fund'!$AM113</f>
        <v>0</v>
      </c>
      <c r="AN61" s="75" t="e">
        <f>#REF!</f>
        <v>#REF!</v>
      </c>
      <c r="AO61" s="75" t="e">
        <f>#REF!</f>
        <v>#REF!</v>
      </c>
      <c r="AP61" s="182"/>
      <c r="AQ61" s="8">
        <f>'Adopted FY20 Budget Fund'!$AN113</f>
        <v>0</v>
      </c>
      <c r="AR61" s="8">
        <f>'Adopted FY20 Budget Fund'!$AO113</f>
        <v>0</v>
      </c>
      <c r="AS61" s="75" t="e">
        <f>#REF!</f>
        <v>#REF!</v>
      </c>
      <c r="AT61" s="75" t="e">
        <f>#REF!</f>
        <v>#REF!</v>
      </c>
      <c r="AU61" s="182"/>
      <c r="AV61" s="8">
        <f>'Adopted FY20 Budget Fund'!$AP113</f>
        <v>51420</v>
      </c>
      <c r="AW61" s="8">
        <f>'Adopted FY20 Budget Fund'!$AQ113</f>
        <v>0</v>
      </c>
      <c r="AX61" s="75" t="e">
        <f>#REF!</f>
        <v>#REF!</v>
      </c>
      <c r="AY61" s="75" t="e">
        <f>#REF!</f>
        <v>#REF!</v>
      </c>
      <c r="AZ61" s="182"/>
      <c r="BA61" s="8">
        <f>'Adopted FY20 Budget Fund'!$AR113</f>
        <v>0</v>
      </c>
      <c r="BB61" s="8">
        <f>'Adopted FY20 Budget Fund'!$AS113</f>
        <v>9600</v>
      </c>
      <c r="BC61" s="75" t="e">
        <f>#REF!</f>
        <v>#REF!</v>
      </c>
      <c r="BD61" s="75" t="e">
        <f>#REF!</f>
        <v>#REF!</v>
      </c>
      <c r="BE61" s="182" t="e">
        <f t="shared" si="15"/>
        <v>#REF!</v>
      </c>
      <c r="BF61" s="8">
        <f>'Adopted FY20 Budget Fund'!$AT113</f>
        <v>0</v>
      </c>
      <c r="BG61" s="8">
        <f>'Adopted FY20 Budget Fund'!$AU113</f>
        <v>8400</v>
      </c>
      <c r="BH61" s="75" t="e">
        <f>#REF!</f>
        <v>#REF!</v>
      </c>
      <c r="BI61" s="75" t="e">
        <f>#REF!</f>
        <v>#REF!</v>
      </c>
      <c r="BJ61" s="182" t="e">
        <f t="shared" si="19"/>
        <v>#REF!</v>
      </c>
      <c r="BK61" s="8">
        <f>'Adopted FY20 Budget Fund'!$AV113</f>
        <v>0</v>
      </c>
      <c r="BL61" s="8">
        <f>'Adopted FY20 Budget Fund'!$AW113</f>
        <v>18000</v>
      </c>
      <c r="BM61" s="75" t="e">
        <f>#REF!</f>
        <v>#REF!</v>
      </c>
      <c r="BN61" s="75" t="e">
        <f>#REF!</f>
        <v>#REF!</v>
      </c>
      <c r="BO61" s="182" t="e">
        <f t="shared" si="16"/>
        <v>#REF!</v>
      </c>
      <c r="BP61" s="8">
        <f t="shared" si="11"/>
        <v>176620</v>
      </c>
      <c r="BQ61" s="8" t="e">
        <f t="shared" si="12"/>
        <v>#REF!</v>
      </c>
      <c r="BR61" s="182" t="e">
        <f t="shared" si="17"/>
        <v>#REF!</v>
      </c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</row>
    <row r="62" spans="1:87" x14ac:dyDescent="0.25">
      <c r="A62" s="5" t="s">
        <v>133</v>
      </c>
      <c r="B62" s="8">
        <f>'Adopted FY20 Budget Fund'!$X114</f>
        <v>2472</v>
      </c>
      <c r="C62" s="8">
        <f>'Adopted FY20 Budget Fund'!$Y114</f>
        <v>0</v>
      </c>
      <c r="D62" s="75" t="e">
        <f>#REF!</f>
        <v>#REF!</v>
      </c>
      <c r="E62" s="75" t="e">
        <f>#REF!</f>
        <v>#REF!</v>
      </c>
      <c r="F62" s="182" t="e">
        <f t="shared" si="13"/>
        <v>#REF!</v>
      </c>
      <c r="G62" s="8">
        <f>'Adopted FY20 Budget Fund'!$Z114</f>
        <v>0</v>
      </c>
      <c r="H62" s="8" t="e">
        <f>#REF!</f>
        <v>#REF!</v>
      </c>
      <c r="I62" s="182"/>
      <c r="J62" s="8">
        <f>'Adopted FY20 Budget Fund'!$AA114</f>
        <v>0</v>
      </c>
      <c r="K62" s="8" t="e">
        <f>#REF!</f>
        <v>#REF!</v>
      </c>
      <c r="L62" s="182"/>
      <c r="M62" s="8">
        <f>'Adopted FY20 Budget Fund'!$AB114</f>
        <v>0</v>
      </c>
      <c r="N62" s="8">
        <f>'Adopted FY20 Budget Fund'!$AC114</f>
        <v>0</v>
      </c>
      <c r="O62" s="75" t="e">
        <f>#REF!</f>
        <v>#REF!</v>
      </c>
      <c r="P62" s="75" t="e">
        <f>#REF!</f>
        <v>#REF!</v>
      </c>
      <c r="Q62" s="182"/>
      <c r="R62" s="8">
        <f>'Adopted FY20 Budget Fund'!$AD114</f>
        <v>0</v>
      </c>
      <c r="S62" s="8">
        <f>'Adopted FY20 Budget Fund'!$AE114</f>
        <v>0</v>
      </c>
      <c r="T62" s="75" t="e">
        <f>#REF!</f>
        <v>#REF!</v>
      </c>
      <c r="U62" s="75" t="e">
        <f>#REF!</f>
        <v>#REF!</v>
      </c>
      <c r="V62" s="182"/>
      <c r="W62" s="8">
        <f>'Adopted FY20 Budget Fund'!$AF114</f>
        <v>0</v>
      </c>
      <c r="X62" s="8">
        <f>'Adopted FY20 Budget Fund'!$AG114</f>
        <v>0</v>
      </c>
      <c r="Y62" s="75" t="e">
        <f>#REF!</f>
        <v>#REF!</v>
      </c>
      <c r="Z62" s="75" t="e">
        <f>#REF!</f>
        <v>#REF!</v>
      </c>
      <c r="AA62" s="182"/>
      <c r="AB62" s="8">
        <f>'Adopted FY20 Budget Fund'!$AH114</f>
        <v>0</v>
      </c>
      <c r="AC62" s="8">
        <f>'Adopted FY20 Budget Fund'!$AI114</f>
        <v>0</v>
      </c>
      <c r="AD62" s="75" t="e">
        <f>#REF!</f>
        <v>#REF!</v>
      </c>
      <c r="AE62" s="75" t="e">
        <f>#REF!</f>
        <v>#REF!</v>
      </c>
      <c r="AF62" s="182"/>
      <c r="AG62" s="8">
        <f>'Adopted FY20 Budget Fund'!$AJ114</f>
        <v>0</v>
      </c>
      <c r="AH62" s="8">
        <f>'Adopted FY20 Budget Fund'!$AK114</f>
        <v>0</v>
      </c>
      <c r="AI62" s="75" t="e">
        <f>#REF!</f>
        <v>#REF!</v>
      </c>
      <c r="AJ62" s="75" t="e">
        <f>#REF!</f>
        <v>#REF!</v>
      </c>
      <c r="AK62" s="182"/>
      <c r="AL62" s="8">
        <f>'Adopted FY20 Budget Fund'!$AL114</f>
        <v>0</v>
      </c>
      <c r="AM62" s="8">
        <f>'Adopted FY20 Budget Fund'!$AM114</f>
        <v>0</v>
      </c>
      <c r="AN62" s="75" t="e">
        <f>#REF!</f>
        <v>#REF!</v>
      </c>
      <c r="AO62" s="75" t="e">
        <f>#REF!</f>
        <v>#REF!</v>
      </c>
      <c r="AP62" s="182"/>
      <c r="AQ62" s="8">
        <f>'Adopted FY20 Budget Fund'!$AN114</f>
        <v>0</v>
      </c>
      <c r="AR62" s="8">
        <f>'Adopted FY20 Budget Fund'!$AO114</f>
        <v>0</v>
      </c>
      <c r="AS62" s="75" t="e">
        <f>#REF!</f>
        <v>#REF!</v>
      </c>
      <c r="AT62" s="75" t="e">
        <f>#REF!</f>
        <v>#REF!</v>
      </c>
      <c r="AU62" s="182"/>
      <c r="AV62" s="8">
        <f>'Adopted FY20 Budget Fund'!$AP114</f>
        <v>97581</v>
      </c>
      <c r="AW62" s="8">
        <f>'Adopted FY20 Budget Fund'!$AQ114</f>
        <v>0</v>
      </c>
      <c r="AX62" s="75" t="e">
        <f>#REF!</f>
        <v>#REF!</v>
      </c>
      <c r="AY62" s="75" t="e">
        <f>#REF!</f>
        <v>#REF!</v>
      </c>
      <c r="AZ62" s="182" t="e">
        <f t="shared" si="14"/>
        <v>#REF!</v>
      </c>
      <c r="BA62" s="8">
        <f>'Adopted FY20 Budget Fund'!$AR114</f>
        <v>1680</v>
      </c>
      <c r="BB62" s="8">
        <f>'Adopted FY20 Budget Fund'!$AS114</f>
        <v>0</v>
      </c>
      <c r="BC62" s="75" t="e">
        <f>#REF!</f>
        <v>#REF!</v>
      </c>
      <c r="BD62" s="75" t="e">
        <f>#REF!</f>
        <v>#REF!</v>
      </c>
      <c r="BE62" s="182" t="e">
        <f t="shared" si="15"/>
        <v>#REF!</v>
      </c>
      <c r="BF62" s="8">
        <f>'Adopted FY20 Budget Fund'!$AT114</f>
        <v>0</v>
      </c>
      <c r="BG62" s="8">
        <f>'Adopted FY20 Budget Fund'!$AU114</f>
        <v>0</v>
      </c>
      <c r="BH62" s="75" t="e">
        <f>#REF!</f>
        <v>#REF!</v>
      </c>
      <c r="BI62" s="75" t="e">
        <f>#REF!</f>
        <v>#REF!</v>
      </c>
      <c r="BJ62" s="182"/>
      <c r="BK62" s="8">
        <f>'Adopted FY20 Budget Fund'!$AV114</f>
        <v>0</v>
      </c>
      <c r="BL62" s="8">
        <f>'Adopted FY20 Budget Fund'!$AW114</f>
        <v>0</v>
      </c>
      <c r="BM62" s="75" t="e">
        <f>#REF!</f>
        <v>#REF!</v>
      </c>
      <c r="BN62" s="75" t="e">
        <f>#REF!</f>
        <v>#REF!</v>
      </c>
      <c r="BO62" s="182"/>
      <c r="BP62" s="8">
        <f t="shared" si="11"/>
        <v>101733</v>
      </c>
      <c r="BQ62" s="8" t="e">
        <f t="shared" si="12"/>
        <v>#REF!</v>
      </c>
      <c r="BR62" s="182" t="e">
        <f t="shared" si="17"/>
        <v>#REF!</v>
      </c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</row>
    <row r="63" spans="1:87" x14ac:dyDescent="0.25">
      <c r="A63" s="5" t="s">
        <v>134</v>
      </c>
      <c r="B63" s="8">
        <f>'Adopted FY20 Budget Fund'!$X115</f>
        <v>1654533</v>
      </c>
      <c r="C63" s="8">
        <f>'Adopted FY20 Budget Fund'!$Y115</f>
        <v>0</v>
      </c>
      <c r="D63" s="75" t="e">
        <f>#REF!</f>
        <v>#REF!</v>
      </c>
      <c r="E63" s="75" t="e">
        <f>#REF!</f>
        <v>#REF!</v>
      </c>
      <c r="F63" s="182"/>
      <c r="G63" s="8">
        <f>'Adopted FY20 Budget Fund'!$Z115</f>
        <v>0</v>
      </c>
      <c r="H63" s="8" t="e">
        <f>#REF!</f>
        <v>#REF!</v>
      </c>
      <c r="I63" s="182"/>
      <c r="J63" s="8">
        <f>'Adopted FY20 Budget Fund'!$AA115</f>
        <v>0</v>
      </c>
      <c r="K63" s="8" t="e">
        <f>#REF!</f>
        <v>#REF!</v>
      </c>
      <c r="L63" s="182"/>
      <c r="M63" s="8">
        <f>'Adopted FY20 Budget Fund'!$AB115</f>
        <v>0</v>
      </c>
      <c r="N63" s="8">
        <f>'Adopted FY20 Budget Fund'!$AC115</f>
        <v>0</v>
      </c>
      <c r="O63" s="75" t="e">
        <f>#REF!</f>
        <v>#REF!</v>
      </c>
      <c r="P63" s="75" t="e">
        <f>#REF!</f>
        <v>#REF!</v>
      </c>
      <c r="Q63" s="182"/>
      <c r="R63" s="8">
        <f>'Adopted FY20 Budget Fund'!$AD115</f>
        <v>0</v>
      </c>
      <c r="S63" s="8">
        <f>'Adopted FY20 Budget Fund'!$AE115</f>
        <v>0</v>
      </c>
      <c r="T63" s="75" t="e">
        <f>#REF!</f>
        <v>#REF!</v>
      </c>
      <c r="U63" s="75" t="e">
        <f>#REF!</f>
        <v>#REF!</v>
      </c>
      <c r="V63" s="182"/>
      <c r="W63" s="8">
        <f>'Adopted FY20 Budget Fund'!$AF115</f>
        <v>0</v>
      </c>
      <c r="X63" s="8">
        <f>'Adopted FY20 Budget Fund'!$AG115</f>
        <v>0</v>
      </c>
      <c r="Y63" s="75" t="e">
        <f>#REF!</f>
        <v>#REF!</v>
      </c>
      <c r="Z63" s="75" t="e">
        <f>#REF!</f>
        <v>#REF!</v>
      </c>
      <c r="AA63" s="182"/>
      <c r="AB63" s="8">
        <f>'Adopted FY20 Budget Fund'!$AH115</f>
        <v>0</v>
      </c>
      <c r="AC63" s="8">
        <f>'Adopted FY20 Budget Fund'!$AI115</f>
        <v>0</v>
      </c>
      <c r="AD63" s="75" t="e">
        <f>#REF!</f>
        <v>#REF!</v>
      </c>
      <c r="AE63" s="75" t="e">
        <f>#REF!</f>
        <v>#REF!</v>
      </c>
      <c r="AF63" s="182"/>
      <c r="AG63" s="8">
        <f>'Adopted FY20 Budget Fund'!$AJ115</f>
        <v>0</v>
      </c>
      <c r="AH63" s="8">
        <f>'Adopted FY20 Budget Fund'!$AK115</f>
        <v>0</v>
      </c>
      <c r="AI63" s="75" t="e">
        <f>#REF!</f>
        <v>#REF!</v>
      </c>
      <c r="AJ63" s="75" t="e">
        <f>#REF!</f>
        <v>#REF!</v>
      </c>
      <c r="AK63" s="182"/>
      <c r="AL63" s="8">
        <f>'Adopted FY20 Budget Fund'!$AL115</f>
        <v>0</v>
      </c>
      <c r="AM63" s="8">
        <f>'Adopted FY20 Budget Fund'!$AM115</f>
        <v>0</v>
      </c>
      <c r="AN63" s="75" t="e">
        <f>#REF!</f>
        <v>#REF!</v>
      </c>
      <c r="AO63" s="75" t="e">
        <f>#REF!</f>
        <v>#REF!</v>
      </c>
      <c r="AP63" s="182"/>
      <c r="AQ63" s="8">
        <f>'Adopted FY20 Budget Fund'!$AN115</f>
        <v>0</v>
      </c>
      <c r="AR63" s="8">
        <f>'Adopted FY20 Budget Fund'!$AO115</f>
        <v>0</v>
      </c>
      <c r="AS63" s="75" t="e">
        <f>#REF!</f>
        <v>#REF!</v>
      </c>
      <c r="AT63" s="75" t="e">
        <f>#REF!</f>
        <v>#REF!</v>
      </c>
      <c r="AU63" s="182"/>
      <c r="AV63" s="8">
        <f>'Adopted FY20 Budget Fund'!$AP115</f>
        <v>0</v>
      </c>
      <c r="AW63" s="8">
        <f>'Adopted FY20 Budget Fund'!$AQ115</f>
        <v>0</v>
      </c>
      <c r="AX63" s="75" t="e">
        <f>#REF!</f>
        <v>#REF!</v>
      </c>
      <c r="AY63" s="75" t="e">
        <f>#REF!</f>
        <v>#REF!</v>
      </c>
      <c r="AZ63" s="182"/>
      <c r="BA63" s="8">
        <f>'Adopted FY20 Budget Fund'!$AR115</f>
        <v>0</v>
      </c>
      <c r="BB63" s="8">
        <f>'Adopted FY20 Budget Fund'!$AS115</f>
        <v>0</v>
      </c>
      <c r="BC63" s="75" t="e">
        <f>#REF!</f>
        <v>#REF!</v>
      </c>
      <c r="BD63" s="75" t="e">
        <f>#REF!</f>
        <v>#REF!</v>
      </c>
      <c r="BE63" s="182"/>
      <c r="BF63" s="8">
        <f>'Adopted FY20 Budget Fund'!$AT115</f>
        <v>0</v>
      </c>
      <c r="BG63" s="8">
        <f>'Adopted FY20 Budget Fund'!$AU115</f>
        <v>0</v>
      </c>
      <c r="BH63" s="75" t="e">
        <f>#REF!</f>
        <v>#REF!</v>
      </c>
      <c r="BI63" s="75" t="e">
        <f>#REF!</f>
        <v>#REF!</v>
      </c>
      <c r="BJ63" s="182"/>
      <c r="BK63" s="8">
        <f>'Adopted FY20 Budget Fund'!$AV115</f>
        <v>0</v>
      </c>
      <c r="BL63" s="8">
        <f>'Adopted FY20 Budget Fund'!$AW115</f>
        <v>0</v>
      </c>
      <c r="BM63" s="75" t="e">
        <f>#REF!</f>
        <v>#REF!</v>
      </c>
      <c r="BN63" s="75" t="e">
        <f>#REF!</f>
        <v>#REF!</v>
      </c>
      <c r="BO63" s="182"/>
      <c r="BP63" s="318"/>
      <c r="BQ63" s="8" t="e">
        <f t="shared" si="12"/>
        <v>#REF!</v>
      </c>
      <c r="BR63" s="182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</row>
    <row r="64" spans="1:87" ht="13.8" thickBot="1" x14ac:dyDescent="0.3">
      <c r="A64" s="188" t="s">
        <v>128</v>
      </c>
      <c r="B64" s="180">
        <f>SUM(B55:B63)</f>
        <v>2382589</v>
      </c>
      <c r="C64" s="181">
        <f>SUM(C55:C63)</f>
        <v>674208</v>
      </c>
      <c r="D64" s="181" t="e">
        <f>SUM(D55:D63)</f>
        <v>#REF!</v>
      </c>
      <c r="E64" s="181" t="e">
        <f>SUM(E55:E63)</f>
        <v>#REF!</v>
      </c>
      <c r="F64" s="186" t="e">
        <f t="shared" si="13"/>
        <v>#REF!</v>
      </c>
      <c r="G64" s="180">
        <f>SUM(G55:G63)</f>
        <v>722588</v>
      </c>
      <c r="H64" s="180" t="e">
        <f>SUM(H55:H63)</f>
        <v>#REF!</v>
      </c>
      <c r="I64" s="186" t="e">
        <f>(H64-G64)/G64</f>
        <v>#REF!</v>
      </c>
      <c r="J64" s="180">
        <f>SUM(J55:J63)</f>
        <v>78280</v>
      </c>
      <c r="K64" s="180" t="e">
        <f>SUM(K55:K63)</f>
        <v>#REF!</v>
      </c>
      <c r="L64" s="186" t="e">
        <f>(K64-J64)/J64</f>
        <v>#REF!</v>
      </c>
      <c r="M64" s="180">
        <f>SUM(M55:M63)</f>
        <v>556221</v>
      </c>
      <c r="N64" s="181">
        <f>SUM(N55:N63)</f>
        <v>1837279</v>
      </c>
      <c r="O64" s="181" t="e">
        <f>SUM(O55:O63)</f>
        <v>#REF!</v>
      </c>
      <c r="P64" s="181" t="e">
        <f>SUM(P55:P63)</f>
        <v>#REF!</v>
      </c>
      <c r="Q64" s="186" t="e">
        <f>(SUM(O64,P64)-SUM(N64,M64))/SUM(N64,M64)</f>
        <v>#REF!</v>
      </c>
      <c r="R64" s="180">
        <f>SUM(R55:R63)</f>
        <v>42718</v>
      </c>
      <c r="S64" s="181">
        <f>SUM(S55:S63)</f>
        <v>185605</v>
      </c>
      <c r="T64" s="181" t="e">
        <f>SUM(T55:T63)</f>
        <v>#REF!</v>
      </c>
      <c r="U64" s="181" t="e">
        <f>SUM(U55:U63)</f>
        <v>#REF!</v>
      </c>
      <c r="V64" s="186" t="e">
        <f>(SUM(T64,U64)-SUM(S64,R64))/SUM(S64,R64)</f>
        <v>#REF!</v>
      </c>
      <c r="W64" s="180">
        <f>SUM(W55:W63)</f>
        <v>244081</v>
      </c>
      <c r="X64" s="181">
        <f>SUM(X55:X63)</f>
        <v>902610</v>
      </c>
      <c r="Y64" s="181" t="e">
        <f>SUM(Y55:Y63)</f>
        <v>#REF!</v>
      </c>
      <c r="Z64" s="181" t="e">
        <f>SUM(Z55:Z63)</f>
        <v>#REF!</v>
      </c>
      <c r="AA64" s="186" t="e">
        <f>(SUM(Y64,Z64)-SUM(X64,W64))/SUM(X64,W64)</f>
        <v>#REF!</v>
      </c>
      <c r="AB64" s="180">
        <f>SUM(AB55:AB63)</f>
        <v>127500</v>
      </c>
      <c r="AC64" s="181">
        <f>SUM(AC55:AC63)</f>
        <v>0</v>
      </c>
      <c r="AD64" s="181" t="e">
        <f>SUM(AD55:AD63)</f>
        <v>#REF!</v>
      </c>
      <c r="AE64" s="181" t="e">
        <f>SUM(AE55:AE63)</f>
        <v>#REF!</v>
      </c>
      <c r="AF64" s="186" t="e">
        <f>(SUM(AD64,AE64)-SUM(AC64,AB64))/SUM(AC64,AB64)</f>
        <v>#REF!</v>
      </c>
      <c r="AG64" s="180">
        <f>SUM(AG55:AG63)</f>
        <v>72986</v>
      </c>
      <c r="AH64" s="181">
        <f>SUM(AH55:AH63)</f>
        <v>337066</v>
      </c>
      <c r="AI64" s="181" t="e">
        <f>SUM(AI55:AI63)</f>
        <v>#REF!</v>
      </c>
      <c r="AJ64" s="181" t="e">
        <f>SUM(AJ55:AJ63)</f>
        <v>#REF!</v>
      </c>
      <c r="AK64" s="186" t="e">
        <f>(SUM(AI64,AJ64)-SUM(AH64,AG64))/SUM(AH64,AG64)</f>
        <v>#REF!</v>
      </c>
      <c r="AL64" s="180">
        <f>SUM(AL55:AL63)</f>
        <v>29839</v>
      </c>
      <c r="AM64" s="181">
        <f>SUM(AM55:AM63)</f>
        <v>45974</v>
      </c>
      <c r="AN64" s="181" t="e">
        <f>SUM(AN55:AN63)</f>
        <v>#REF!</v>
      </c>
      <c r="AO64" s="181" t="e">
        <f>SUM(AO55:AO63)</f>
        <v>#REF!</v>
      </c>
      <c r="AP64" s="186" t="e">
        <f t="shared" si="18"/>
        <v>#REF!</v>
      </c>
      <c r="AQ64" s="180">
        <f>SUM(AQ55:AQ63)</f>
        <v>49586</v>
      </c>
      <c r="AR64" s="181">
        <f>SUM(AR55:AR63)</f>
        <v>447667</v>
      </c>
      <c r="AS64" s="181" t="e">
        <f>SUM(AS55:AS63)</f>
        <v>#REF!</v>
      </c>
      <c r="AT64" s="181" t="e">
        <f>SUM(AT55:AT63)</f>
        <v>#REF!</v>
      </c>
      <c r="AU64" s="186" t="e">
        <f>(SUM(AS64,AT64)-SUM(AR64,AQ64))/SUM(AR64,AQ64)</f>
        <v>#REF!</v>
      </c>
      <c r="AV64" s="180">
        <f>SUM(AV55:AV63)</f>
        <v>290467</v>
      </c>
      <c r="AW64" s="181">
        <f>SUM(AW55:AW63)</f>
        <v>123702</v>
      </c>
      <c r="AX64" s="181" t="e">
        <f>SUM(AX55:AX63)</f>
        <v>#REF!</v>
      </c>
      <c r="AY64" s="181" t="e">
        <f>SUM(AY55:AY63)</f>
        <v>#REF!</v>
      </c>
      <c r="AZ64" s="186" t="e">
        <f t="shared" si="14"/>
        <v>#REF!</v>
      </c>
      <c r="BA64" s="180">
        <f>SUM(BA55:BA63)</f>
        <v>94264</v>
      </c>
      <c r="BB64" s="181">
        <f>SUM(BB55:BB63)</f>
        <v>553491</v>
      </c>
      <c r="BC64" s="181" t="e">
        <f>SUM(BC55:BC63)</f>
        <v>#REF!</v>
      </c>
      <c r="BD64" s="181" t="e">
        <f>SUM(BD55:BD63)</f>
        <v>#REF!</v>
      </c>
      <c r="BE64" s="186" t="e">
        <f t="shared" si="15"/>
        <v>#REF!</v>
      </c>
      <c r="BF64" s="180">
        <f>SUM(BF55:BF63)</f>
        <v>28592</v>
      </c>
      <c r="BG64" s="181">
        <f>SUM(BG55:BG63)</f>
        <v>781095</v>
      </c>
      <c r="BH64" s="181" t="e">
        <f>SUM(BH55:BH63)</f>
        <v>#REF!</v>
      </c>
      <c r="BI64" s="181" t="e">
        <f>SUM(BI55:BI63)</f>
        <v>#REF!</v>
      </c>
      <c r="BJ64" s="186" t="e">
        <f t="shared" si="19"/>
        <v>#REF!</v>
      </c>
      <c r="BK64" s="180">
        <f>SUM(BK55:BK63)</f>
        <v>1268642</v>
      </c>
      <c r="BL64" s="181">
        <f>SUM(BL55:BL63)</f>
        <v>1181679</v>
      </c>
      <c r="BM64" s="181" t="e">
        <f>SUM(BM55:BM63)</f>
        <v>#REF!</v>
      </c>
      <c r="BN64" s="181" t="e">
        <f>SUM(BN55:BN63)</f>
        <v>#REF!</v>
      </c>
      <c r="BO64" s="186" t="e">
        <f t="shared" si="16"/>
        <v>#REF!</v>
      </c>
      <c r="BP64" s="180">
        <f>SUM(BP55:BP63)</f>
        <v>11404196</v>
      </c>
      <c r="BQ64" s="180" t="e">
        <f>SUM(BQ55:BQ63)</f>
        <v>#REF!</v>
      </c>
      <c r="BR64" s="186" t="e">
        <f>(BQ64-BP64)/BP64</f>
        <v>#REF!</v>
      </c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</row>
    <row r="65" spans="1:56" ht="13.8" thickTop="1" x14ac:dyDescent="0.25"/>
    <row r="66" spans="1:56" x14ac:dyDescent="0.25">
      <c r="BD66" s="17"/>
    </row>
    <row r="68" spans="1:56" x14ac:dyDescent="0.25"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</row>
    <row r="69" spans="1:56" ht="52.8" x14ac:dyDescent="0.25">
      <c r="A69" s="187" t="s">
        <v>417</v>
      </c>
      <c r="B69" s="183" t="s">
        <v>308</v>
      </c>
      <c r="C69" s="184" t="s">
        <v>244</v>
      </c>
      <c r="D69" s="185" t="s">
        <v>248</v>
      </c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Q69" s="189"/>
    </row>
    <row r="70" spans="1:56" s="71" customFormat="1" x14ac:dyDescent="0.25">
      <c r="A70" s="195" t="s">
        <v>37</v>
      </c>
      <c r="B70" s="196">
        <f>'Adopted FY20 Budget Fund'!$AZ2</f>
        <v>588272</v>
      </c>
      <c r="C70" s="198" t="e">
        <f>#REF!</f>
        <v>#REF!</v>
      </c>
      <c r="D70" s="201" t="e">
        <f>(C70-B70)/B70</f>
        <v>#REF!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73"/>
      <c r="AI70" s="73"/>
      <c r="AJ70" s="73"/>
      <c r="AK70" s="73"/>
      <c r="AL70" s="73"/>
      <c r="AM70" s="73"/>
      <c r="AN70" s="73"/>
      <c r="AO70" s="73"/>
      <c r="AP70" s="73"/>
      <c r="AQ70" s="189"/>
      <c r="AR70" s="73"/>
      <c r="AS70" s="73"/>
      <c r="AT70" s="73"/>
      <c r="AU70" s="73"/>
      <c r="AV70" s="73"/>
      <c r="AW70" s="73"/>
      <c r="AX70" s="73"/>
    </row>
    <row r="71" spans="1:56" s="71" customFormat="1" x14ac:dyDescent="0.25">
      <c r="A71" s="195" t="s">
        <v>38</v>
      </c>
      <c r="B71" s="196">
        <f>'Adopted FY20 Budget Fund'!$AZ3</f>
        <v>0</v>
      </c>
      <c r="C71" s="198" t="e">
        <f>#REF!</f>
        <v>#REF!</v>
      </c>
      <c r="D71" s="201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73"/>
      <c r="AI71" s="73"/>
      <c r="AJ71" s="73"/>
      <c r="AK71" s="73"/>
      <c r="AL71" s="73"/>
      <c r="AM71" s="73"/>
      <c r="AN71" s="73"/>
      <c r="AO71" s="73"/>
      <c r="AP71" s="73"/>
      <c r="AQ71" s="189"/>
      <c r="AR71" s="73"/>
      <c r="AS71" s="73"/>
      <c r="AT71" s="73"/>
      <c r="AU71" s="73"/>
      <c r="AV71" s="73"/>
      <c r="AW71" s="73"/>
      <c r="AX71" s="73"/>
    </row>
    <row r="72" spans="1:56" s="200" customFormat="1" ht="13.8" thickBot="1" x14ac:dyDescent="0.3">
      <c r="A72" s="207" t="s">
        <v>39</v>
      </c>
      <c r="B72" s="203">
        <f>SUM(B70:B71)</f>
        <v>588272</v>
      </c>
      <c r="C72" s="203" t="e">
        <f>SUM(C70:C71)</f>
        <v>#REF!</v>
      </c>
      <c r="D72" s="209" t="e">
        <f>(C72-B72)/B72</f>
        <v>#REF!</v>
      </c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199"/>
      <c r="AI72" s="199"/>
      <c r="AJ72" s="199"/>
      <c r="AK72" s="199"/>
      <c r="AL72" s="199"/>
      <c r="AM72" s="199"/>
      <c r="AN72" s="199"/>
      <c r="AO72" s="199"/>
      <c r="AP72" s="199"/>
      <c r="AQ72" s="198"/>
      <c r="AR72" s="199"/>
      <c r="AS72" s="199"/>
      <c r="AT72" s="199"/>
      <c r="AU72" s="199"/>
      <c r="AV72" s="199"/>
      <c r="AW72" s="199"/>
      <c r="AX72" s="199"/>
    </row>
    <row r="73" spans="1:56" s="71" customFormat="1" ht="16.2" thickTop="1" x14ac:dyDescent="0.25">
      <c r="A73" s="191"/>
      <c r="B73" s="192"/>
      <c r="C73" s="193"/>
      <c r="D73" s="194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73"/>
      <c r="AI73" s="73"/>
      <c r="AJ73" s="73"/>
      <c r="AK73" s="73"/>
      <c r="AL73" s="73"/>
      <c r="AM73" s="73"/>
      <c r="AN73" s="73"/>
      <c r="AO73" s="73"/>
      <c r="AP73" s="73"/>
      <c r="AQ73" s="189"/>
      <c r="AR73" s="73"/>
      <c r="AS73" s="73"/>
      <c r="AT73" s="73"/>
      <c r="AU73" s="73"/>
      <c r="AV73" s="73"/>
      <c r="AW73" s="73"/>
      <c r="AX73" s="73"/>
    </row>
    <row r="74" spans="1:56" x14ac:dyDescent="0.25">
      <c r="A74" s="5" t="s">
        <v>129</v>
      </c>
      <c r="B74" s="8">
        <f>'Adopted FY20 Budget Fund'!$AZ107</f>
        <v>513376</v>
      </c>
      <c r="C74" s="75" t="e">
        <f>#REF!</f>
        <v>#REF!</v>
      </c>
      <c r="D74" s="182" t="e">
        <f>(C74-B74)/B74</f>
        <v>#REF!</v>
      </c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Q74" s="112"/>
    </row>
    <row r="75" spans="1:56" x14ac:dyDescent="0.25">
      <c r="A75" s="5" t="s">
        <v>181</v>
      </c>
      <c r="B75" s="8">
        <f>'Adopted FY20 Budget Fund'!$AZ108</f>
        <v>276112</v>
      </c>
      <c r="C75" s="75" t="e">
        <f>#REF!</f>
        <v>#REF!</v>
      </c>
      <c r="D75" s="182" t="e">
        <f t="shared" ref="D75:D81" si="20">(C75-B75)/B75</f>
        <v>#REF!</v>
      </c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Q75" s="112"/>
    </row>
    <row r="76" spans="1:56" x14ac:dyDescent="0.25">
      <c r="A76" s="5" t="s">
        <v>182</v>
      </c>
      <c r="B76" s="8">
        <f>'Adopted FY20 Budget Fund'!$AZ109</f>
        <v>976500</v>
      </c>
      <c r="C76" s="75" t="e">
        <f>#REF!</f>
        <v>#REF!</v>
      </c>
      <c r="D76" s="182" t="e">
        <f t="shared" si="20"/>
        <v>#REF!</v>
      </c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Q76" s="112"/>
    </row>
    <row r="77" spans="1:56" x14ac:dyDescent="0.25">
      <c r="A77" s="5" t="s">
        <v>130</v>
      </c>
      <c r="B77" s="8">
        <f>'Adopted FY20 Budget Fund'!$AZ110</f>
        <v>315568</v>
      </c>
      <c r="C77" s="75" t="e">
        <f>#REF!</f>
        <v>#REF!</v>
      </c>
      <c r="D77" s="182" t="e">
        <f t="shared" si="20"/>
        <v>#REF!</v>
      </c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Q77" s="112"/>
    </row>
    <row r="78" spans="1:56" x14ac:dyDescent="0.25">
      <c r="A78" s="5" t="s">
        <v>131</v>
      </c>
      <c r="B78" s="8">
        <f>'Adopted FY20 Budget Fund'!$AZ111</f>
        <v>1400704</v>
      </c>
      <c r="C78" s="75" t="e">
        <f>#REF!</f>
        <v>#REF!</v>
      </c>
      <c r="D78" s="182" t="e">
        <f t="shared" si="20"/>
        <v>#REF!</v>
      </c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Q78" s="112"/>
    </row>
    <row r="79" spans="1:56" x14ac:dyDescent="0.25">
      <c r="A79" s="5" t="s">
        <v>90</v>
      </c>
      <c r="B79" s="8">
        <f>'Adopted FY20 Budget Fund'!$AZ112</f>
        <v>10068545</v>
      </c>
      <c r="C79" s="75" t="e">
        <f>#REF!</f>
        <v>#REF!</v>
      </c>
      <c r="D79" s="182" t="e">
        <f t="shared" si="20"/>
        <v>#REF!</v>
      </c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Q79" s="112"/>
    </row>
    <row r="80" spans="1:56" x14ac:dyDescent="0.25">
      <c r="A80" s="5" t="s">
        <v>132</v>
      </c>
      <c r="B80" s="8">
        <f>'Adopted FY20 Budget Fund'!$AZ113</f>
        <v>19652</v>
      </c>
      <c r="C80" s="75" t="e">
        <f>#REF!</f>
        <v>#REF!</v>
      </c>
      <c r="D80" s="182" t="e">
        <f t="shared" si="20"/>
        <v>#REF!</v>
      </c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Q80" s="112"/>
    </row>
    <row r="81" spans="1:50" x14ac:dyDescent="0.25">
      <c r="A81" s="5" t="s">
        <v>133</v>
      </c>
      <c r="B81" s="8">
        <f>'Adopted FY20 Budget Fund'!$AZ114</f>
        <v>2400</v>
      </c>
      <c r="C81" s="75" t="e">
        <f>#REF!</f>
        <v>#REF!</v>
      </c>
      <c r="D81" s="182" t="e">
        <f t="shared" si="20"/>
        <v>#REF!</v>
      </c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Q81" s="112"/>
    </row>
    <row r="82" spans="1:50" x14ac:dyDescent="0.25">
      <c r="A82" s="5" t="s">
        <v>134</v>
      </c>
      <c r="B82" s="318"/>
      <c r="C82" s="319"/>
      <c r="D82" s="18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Q82" s="112"/>
    </row>
    <row r="83" spans="1:50" ht="13.8" thickBot="1" x14ac:dyDescent="0.3">
      <c r="A83" s="188" t="s">
        <v>128</v>
      </c>
      <c r="B83" s="180">
        <f>SUM(B74:B82)</f>
        <v>13572857</v>
      </c>
      <c r="C83" s="190" t="e">
        <f>SUM(C74:C82)</f>
        <v>#REF!</v>
      </c>
      <c r="D83" s="186" t="e">
        <f>(C83-B83)/B83</f>
        <v>#REF!</v>
      </c>
      <c r="AQ83" s="112"/>
    </row>
    <row r="84" spans="1:50" ht="13.8" thickTop="1" x14ac:dyDescent="0.25"/>
    <row r="88" spans="1:50" ht="39.6" x14ac:dyDescent="0.25">
      <c r="A88" s="187" t="s">
        <v>257</v>
      </c>
      <c r="B88" s="183" t="s">
        <v>372</v>
      </c>
      <c r="C88" s="184" t="s">
        <v>258</v>
      </c>
      <c r="D88" s="185" t="s">
        <v>248</v>
      </c>
    </row>
    <row r="89" spans="1:50" s="200" customFormat="1" x14ac:dyDescent="0.25">
      <c r="A89" s="195" t="s">
        <v>37</v>
      </c>
      <c r="B89" s="196">
        <f>+B70+BP51+Y32+AC13</f>
        <v>1212321</v>
      </c>
      <c r="C89" s="198" t="e">
        <f>+C70+BQ51+Z32+AD13</f>
        <v>#REF!</v>
      </c>
      <c r="D89" s="201" t="e">
        <f>(C89-B89)/B89</f>
        <v>#REF!</v>
      </c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</row>
    <row r="90" spans="1:50" s="200" customFormat="1" x14ac:dyDescent="0.25">
      <c r="A90" s="195" t="s">
        <v>38</v>
      </c>
      <c r="B90" s="196">
        <f>+B71+BP52+Y33+AC14</f>
        <v>4416160</v>
      </c>
      <c r="C90" s="198" t="e">
        <f>+C71+BQ52+Z33+AD14</f>
        <v>#REF!</v>
      </c>
      <c r="D90" s="201" t="e">
        <f>(C90-B90)/B90</f>
        <v>#REF!</v>
      </c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</row>
    <row r="91" spans="1:50" s="200" customFormat="1" ht="13.8" thickBot="1" x14ac:dyDescent="0.3">
      <c r="A91" s="207" t="s">
        <v>39</v>
      </c>
      <c r="B91" s="203">
        <f>SUM(B89:B90)</f>
        <v>5628481</v>
      </c>
      <c r="C91" s="203" t="e">
        <f>SUM(C89:C90)</f>
        <v>#REF!</v>
      </c>
      <c r="D91" s="209" t="e">
        <f>(C91-B91)/B91</f>
        <v>#REF!</v>
      </c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</row>
    <row r="92" spans="1:50" s="200" customFormat="1" ht="16.2" thickTop="1" x14ac:dyDescent="0.25">
      <c r="A92" s="211"/>
      <c r="B92" s="196"/>
      <c r="C92" s="198"/>
      <c r="D92" s="197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</row>
    <row r="93" spans="1:50" x14ac:dyDescent="0.25">
      <c r="A93" s="5" t="s">
        <v>129</v>
      </c>
      <c r="B93" s="8">
        <f>+B74+BP55+Y36+AC17</f>
        <v>13457015</v>
      </c>
      <c r="C93" s="8" t="e">
        <f t="shared" ref="C93:C100" si="21">+C74+BQ55+Z36+AD17</f>
        <v>#REF!</v>
      </c>
      <c r="D93" s="182" t="e">
        <f>(C93-B93)/B93</f>
        <v>#REF!</v>
      </c>
    </row>
    <row r="94" spans="1:50" x14ac:dyDescent="0.25">
      <c r="A94" s="5" t="s">
        <v>181</v>
      </c>
      <c r="B94" s="8">
        <f t="shared" ref="B94:B100" si="22">+B75+BP56+Y37+AC18</f>
        <v>3488696</v>
      </c>
      <c r="C94" s="8" t="e">
        <f t="shared" si="21"/>
        <v>#REF!</v>
      </c>
      <c r="D94" s="182" t="e">
        <f t="shared" ref="D94:D100" si="23">(C94-B94)/B94</f>
        <v>#REF!</v>
      </c>
    </row>
    <row r="95" spans="1:50" x14ac:dyDescent="0.25">
      <c r="A95" s="5" t="s">
        <v>182</v>
      </c>
      <c r="B95" s="8">
        <f t="shared" si="22"/>
        <v>3307659</v>
      </c>
      <c r="C95" s="8" t="e">
        <f t="shared" si="21"/>
        <v>#REF!</v>
      </c>
      <c r="D95" s="182" t="e">
        <f t="shared" si="23"/>
        <v>#REF!</v>
      </c>
    </row>
    <row r="96" spans="1:50" x14ac:dyDescent="0.25">
      <c r="A96" s="5" t="s">
        <v>130</v>
      </c>
      <c r="B96" s="8">
        <f t="shared" si="22"/>
        <v>527988</v>
      </c>
      <c r="C96" s="8" t="e">
        <f t="shared" si="21"/>
        <v>#REF!</v>
      </c>
      <c r="D96" s="182" t="e">
        <f t="shared" si="23"/>
        <v>#REF!</v>
      </c>
    </row>
    <row r="97" spans="1:4" x14ac:dyDescent="0.25">
      <c r="A97" s="5" t="s">
        <v>131</v>
      </c>
      <c r="B97" s="8">
        <f t="shared" si="22"/>
        <v>1884965</v>
      </c>
      <c r="C97" s="8" t="e">
        <f t="shared" si="21"/>
        <v>#REF!</v>
      </c>
      <c r="D97" s="182" t="e">
        <f t="shared" si="23"/>
        <v>#REF!</v>
      </c>
    </row>
    <row r="98" spans="1:4" x14ac:dyDescent="0.25">
      <c r="A98" s="5" t="s">
        <v>90</v>
      </c>
      <c r="B98" s="8">
        <f t="shared" si="22"/>
        <v>10700706</v>
      </c>
      <c r="C98" s="8" t="e">
        <f t="shared" si="21"/>
        <v>#REF!</v>
      </c>
      <c r="D98" s="182" t="e">
        <f t="shared" si="23"/>
        <v>#REF!</v>
      </c>
    </row>
    <row r="99" spans="1:4" x14ac:dyDescent="0.25">
      <c r="A99" s="5" t="s">
        <v>132</v>
      </c>
      <c r="B99" s="8">
        <f t="shared" si="22"/>
        <v>480437</v>
      </c>
      <c r="C99" s="8" t="e">
        <f t="shared" si="21"/>
        <v>#REF!</v>
      </c>
      <c r="D99" s="182" t="e">
        <f t="shared" si="23"/>
        <v>#REF!</v>
      </c>
    </row>
    <row r="100" spans="1:4" x14ac:dyDescent="0.25">
      <c r="A100" s="5" t="s">
        <v>133</v>
      </c>
      <c r="B100" s="8">
        <f t="shared" si="22"/>
        <v>229633</v>
      </c>
      <c r="C100" s="8" t="e">
        <f t="shared" si="21"/>
        <v>#REF!</v>
      </c>
      <c r="D100" s="182" t="e">
        <f t="shared" si="23"/>
        <v>#REF!</v>
      </c>
    </row>
    <row r="101" spans="1:4" x14ac:dyDescent="0.25">
      <c r="A101" s="5" t="s">
        <v>134</v>
      </c>
      <c r="B101" s="318"/>
      <c r="C101" s="318"/>
      <c r="D101" s="182"/>
    </row>
    <row r="102" spans="1:4" ht="13.8" thickBot="1" x14ac:dyDescent="0.3">
      <c r="A102" s="188" t="s">
        <v>128</v>
      </c>
      <c r="B102" s="180">
        <f>SUM(B93:B101)</f>
        <v>34077099</v>
      </c>
      <c r="C102" s="190" t="e">
        <f>SUM(C93:C101)</f>
        <v>#REF!</v>
      </c>
      <c r="D102" s="186" t="e">
        <f>(C102-B102)/B102</f>
        <v>#REF!</v>
      </c>
    </row>
    <row r="103" spans="1:4" ht="13.8" thickTop="1" x14ac:dyDescent="0.25"/>
  </sheetData>
  <mergeCells count="1">
    <mergeCell ref="AW2:AX2"/>
  </mergeCells>
  <printOptions horizontalCentered="1"/>
  <pageMargins left="0.5" right="0.5" top="1.25" bottom="0.5" header="0.75" footer="0.3"/>
  <pageSetup paperSize="17" scale="70" orientation="portrait" r:id="rId1"/>
  <headerFooter>
    <oddHeader>&amp;C&amp;"Agenda,Regular"&amp;12&amp;K1E384BDENTON COUNTY TRANSPORTATION AUTHORITY
FY21 Proposed Budget
Budget Detail by Department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F449-38D1-4A92-BB9E-55E30252CD5E}">
  <dimension ref="A1:CN132"/>
  <sheetViews>
    <sheetView topLeftCell="A2" zoomScaleNormal="100" zoomScaleSheetLayoutView="75" workbookViewId="0">
      <pane xSplit="1" ySplit="13" topLeftCell="B15" activePane="bottomRight" state="frozen"/>
      <selection activeCell="A2" sqref="A2"/>
      <selection pane="topRight" activeCell="B2" sqref="B2"/>
      <selection pane="bottomLeft" activeCell="A15" sqref="A15"/>
      <selection pane="bottomRight" activeCell="B63" sqref="B63"/>
    </sheetView>
  </sheetViews>
  <sheetFormatPr defaultColWidth="8.6640625" defaultRowHeight="13.2" x14ac:dyDescent="0.25"/>
  <cols>
    <col min="1" max="1" width="33" style="5" customWidth="1"/>
    <col min="2" max="2" width="12.5546875" style="8" customWidth="1"/>
    <col min="3" max="3" width="14.6640625" style="8" customWidth="1"/>
    <col min="4" max="4" width="11.6640625" style="8" customWidth="1"/>
    <col min="5" max="5" width="14" style="8" customWidth="1"/>
    <col min="6" max="6" width="11.6640625" style="8" customWidth="1"/>
    <col min="7" max="7" width="13.6640625" style="8" customWidth="1"/>
    <col min="8" max="8" width="12.44140625" style="8" customWidth="1"/>
    <col min="9" max="9" width="11.6640625" style="8" customWidth="1"/>
    <col min="10" max="10" width="12.5546875" style="8" customWidth="1"/>
    <col min="11" max="11" width="13.44140625" style="8" customWidth="1"/>
    <col min="12" max="21" width="11.6640625" style="8" customWidth="1"/>
    <col min="22" max="22" width="12.6640625" style="8" customWidth="1"/>
    <col min="23" max="23" width="11.6640625" style="8" customWidth="1"/>
    <col min="24" max="25" width="12.6640625" style="8" customWidth="1"/>
    <col min="26" max="27" width="13" style="8" customWidth="1"/>
    <col min="28" max="29" width="12.6640625" style="8" customWidth="1"/>
    <col min="30" max="31" width="11.33203125" style="8" customWidth="1"/>
    <col min="32" max="37" width="12.6640625" style="8" customWidth="1"/>
    <col min="38" max="39" width="10.6640625" style="8" customWidth="1"/>
    <col min="40" max="40" width="11.33203125" style="8" bestFit="1" customWidth="1"/>
    <col min="41" max="43" width="10.6640625" style="8" customWidth="1"/>
    <col min="44" max="45" width="12.44140625" style="8" customWidth="1"/>
    <col min="46" max="48" width="13.6640625" style="8" customWidth="1"/>
    <col min="49" max="50" width="13.44140625" style="8" customWidth="1"/>
    <col min="51" max="51" width="15" style="5" customWidth="1"/>
    <col min="52" max="52" width="12.44140625" style="5" customWidth="1"/>
    <col min="53" max="53" width="14.5546875" style="5" customWidth="1"/>
    <col min="54" max="54" width="11.6640625" style="5" customWidth="1"/>
    <col min="55" max="55" width="13.33203125" style="5" customWidth="1"/>
    <col min="56" max="56" width="13.5546875" style="5" customWidth="1"/>
    <col min="57" max="57" width="12.33203125" style="5" customWidth="1"/>
    <col min="58" max="59" width="12.33203125" style="5" bestFit="1" customWidth="1"/>
    <col min="60" max="60" width="9.6640625" style="5" bestFit="1" customWidth="1"/>
    <col min="61" max="16384" width="8.6640625" style="5"/>
  </cols>
  <sheetData>
    <row r="1" spans="1:75" hidden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107" t="s">
        <v>126</v>
      </c>
      <c r="AV1" s="83" t="e">
        <f>#REF!-#REF!+#REF!</f>
        <v>#REF!</v>
      </c>
    </row>
    <row r="2" spans="1:75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W2" s="332"/>
      <c r="AX2" s="332"/>
    </row>
    <row r="3" spans="1:7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75" s="44" customFormat="1" ht="40.200000000000003" hidden="1" customHeight="1" x14ac:dyDescent="0.25">
      <c r="A4" s="50" t="s">
        <v>135</v>
      </c>
      <c r="B4" s="51" t="s">
        <v>136</v>
      </c>
      <c r="C4" s="52" t="s">
        <v>137</v>
      </c>
      <c r="D4" s="51" t="s">
        <v>138</v>
      </c>
      <c r="E4" s="52" t="s">
        <v>139</v>
      </c>
      <c r="F4" s="52" t="s">
        <v>140</v>
      </c>
      <c r="G4" s="52" t="s">
        <v>141</v>
      </c>
      <c r="H4" s="52" t="s">
        <v>142</v>
      </c>
      <c r="I4" s="52" t="s">
        <v>143</v>
      </c>
      <c r="J4" s="52" t="s">
        <v>144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 t="s">
        <v>145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3" t="s">
        <v>146</v>
      </c>
      <c r="AV4" s="54"/>
      <c r="AW4" s="54"/>
      <c r="AX4" s="54"/>
      <c r="AY4" s="168"/>
    </row>
    <row r="5" spans="1:75" ht="40.200000000000003" hidden="1" customHeight="1" x14ac:dyDescent="0.25">
      <c r="A5" s="55"/>
      <c r="C5" s="54" t="s">
        <v>147</v>
      </c>
      <c r="D5" s="56"/>
      <c r="E5" s="57" t="s">
        <v>148</v>
      </c>
      <c r="F5" s="57" t="s">
        <v>149</v>
      </c>
      <c r="G5" s="57" t="s">
        <v>150</v>
      </c>
      <c r="H5" s="58"/>
      <c r="I5" s="58"/>
      <c r="J5" s="57" t="s">
        <v>151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 t="s">
        <v>152</v>
      </c>
      <c r="AU5" s="61" t="s">
        <v>153</v>
      </c>
      <c r="AY5" s="168"/>
    </row>
    <row r="6" spans="1:75" ht="40.200000000000003" hidden="1" customHeight="1" x14ac:dyDescent="0.25">
      <c r="A6" s="55"/>
      <c r="C6" s="56"/>
      <c r="D6" s="56"/>
      <c r="E6" s="57" t="s">
        <v>154</v>
      </c>
      <c r="F6" s="57" t="s">
        <v>155</v>
      </c>
      <c r="G6" s="57" t="s">
        <v>156</v>
      </c>
      <c r="H6" s="58"/>
      <c r="I6" s="58"/>
      <c r="J6" s="57" t="s">
        <v>157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 t="s">
        <v>158</v>
      </c>
      <c r="AU6" s="61" t="s">
        <v>159</v>
      </c>
      <c r="AY6" s="168"/>
    </row>
    <row r="7" spans="1:75" ht="40.200000000000003" hidden="1" customHeight="1" x14ac:dyDescent="0.25">
      <c r="A7" s="55"/>
      <c r="C7" s="56"/>
      <c r="D7" s="56"/>
      <c r="E7" s="57" t="s">
        <v>160</v>
      </c>
      <c r="F7" s="57" t="s">
        <v>161</v>
      </c>
      <c r="G7" s="57" t="s">
        <v>162</v>
      </c>
      <c r="H7" s="58"/>
      <c r="I7" s="58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 t="s">
        <v>163</v>
      </c>
      <c r="AU7" s="61" t="s">
        <v>164</v>
      </c>
      <c r="AY7" s="168"/>
    </row>
    <row r="8" spans="1:75" ht="40.200000000000003" hidden="1" customHeight="1" x14ac:dyDescent="0.25">
      <c r="A8" s="55"/>
      <c r="C8" s="56"/>
      <c r="D8" s="56"/>
      <c r="E8" s="57" t="s">
        <v>165</v>
      </c>
      <c r="F8" s="57" t="s">
        <v>166</v>
      </c>
      <c r="G8" s="57" t="s">
        <v>167</v>
      </c>
      <c r="H8" s="58"/>
      <c r="I8" s="58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 t="s">
        <v>163</v>
      </c>
      <c r="AU8" s="62"/>
    </row>
    <row r="9" spans="1:75" ht="40.200000000000003" hidden="1" customHeight="1" x14ac:dyDescent="0.25">
      <c r="A9" s="55"/>
      <c r="C9" s="56"/>
      <c r="D9" s="56"/>
      <c r="E9" s="57" t="s">
        <v>168</v>
      </c>
      <c r="F9" s="57" t="s">
        <v>169</v>
      </c>
      <c r="G9" s="57" t="s">
        <v>170</v>
      </c>
      <c r="H9" s="58"/>
      <c r="I9" s="58"/>
      <c r="J9" s="58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 t="s">
        <v>171</v>
      </c>
      <c r="AU9" s="62"/>
    </row>
    <row r="10" spans="1:75" ht="40.200000000000003" hidden="1" customHeight="1" x14ac:dyDescent="0.25">
      <c r="A10" s="55"/>
      <c r="C10" s="56"/>
      <c r="D10" s="56"/>
      <c r="E10" s="57" t="s">
        <v>172</v>
      </c>
      <c r="F10" s="58"/>
      <c r="G10" s="57" t="s">
        <v>173</v>
      </c>
      <c r="H10" s="58"/>
      <c r="I10" s="58"/>
      <c r="J10" s="58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 t="s">
        <v>174</v>
      </c>
      <c r="AU10" s="62"/>
    </row>
    <row r="11" spans="1:75" ht="40.200000000000003" hidden="1" customHeight="1" x14ac:dyDescent="0.25">
      <c r="A11" s="55"/>
      <c r="C11" s="56"/>
      <c r="D11" s="56"/>
      <c r="E11" s="57" t="s">
        <v>175</v>
      </c>
      <c r="F11" s="58"/>
      <c r="G11" s="57" t="s">
        <v>150</v>
      </c>
      <c r="H11" s="58"/>
      <c r="I11" s="58"/>
      <c r="J11" s="58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 t="s">
        <v>176</v>
      </c>
      <c r="AU11" s="62"/>
    </row>
    <row r="12" spans="1:75" ht="40.200000000000003" hidden="1" customHeight="1" x14ac:dyDescent="0.25">
      <c r="A12" s="55"/>
      <c r="C12" s="56"/>
      <c r="D12" s="56"/>
      <c r="E12" s="57" t="s">
        <v>177</v>
      </c>
      <c r="F12" s="58"/>
      <c r="G12" s="58"/>
      <c r="H12" s="58"/>
      <c r="I12" s="58"/>
      <c r="J12" s="58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AU12" s="62"/>
    </row>
    <row r="13" spans="1:75" s="143" customFormat="1" ht="40.200000000000003" hidden="1" customHeight="1" x14ac:dyDescent="0.25">
      <c r="A13" s="63"/>
      <c r="B13" s="9"/>
      <c r="C13" s="64"/>
      <c r="D13" s="64"/>
      <c r="E13" s="65" t="s">
        <v>178</v>
      </c>
      <c r="F13" s="66"/>
      <c r="G13" s="66"/>
      <c r="H13" s="66"/>
      <c r="I13" s="66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68"/>
      <c r="AV13" s="8"/>
      <c r="AW13" s="8"/>
      <c r="AX13" s="8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</row>
    <row r="14" spans="1:75" s="143" customFormat="1" ht="40.200000000000003" hidden="1" customHeight="1" x14ac:dyDescent="0.25">
      <c r="A14" s="5"/>
      <c r="B14" s="8"/>
      <c r="C14" s="56"/>
      <c r="D14" s="56"/>
      <c r="E14" s="58"/>
      <c r="F14" s="58"/>
      <c r="G14" s="58"/>
      <c r="H14" s="58"/>
      <c r="I14" s="58"/>
      <c r="J14" s="58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</row>
    <row r="15" spans="1:75" s="143" customFormat="1" x14ac:dyDescent="0.25">
      <c r="A15" s="5"/>
      <c r="B15" s="8"/>
      <c r="C15" s="8"/>
      <c r="D15" s="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</row>
    <row r="16" spans="1:75" s="140" customFormat="1" ht="41.7" customHeight="1" x14ac:dyDescent="0.25">
      <c r="A16" s="187" t="s">
        <v>249</v>
      </c>
      <c r="B16" s="183" t="s">
        <v>0</v>
      </c>
      <c r="C16" s="184" t="s">
        <v>245</v>
      </c>
      <c r="D16" s="185" t="s">
        <v>248</v>
      </c>
      <c r="E16" s="183" t="s">
        <v>1</v>
      </c>
      <c r="F16" s="184" t="s">
        <v>205</v>
      </c>
      <c r="G16" s="185" t="s">
        <v>248</v>
      </c>
      <c r="H16" s="183" t="s">
        <v>2</v>
      </c>
      <c r="I16" s="184" t="s">
        <v>206</v>
      </c>
      <c r="J16" s="185" t="s">
        <v>248</v>
      </c>
      <c r="K16" s="183" t="s">
        <v>3</v>
      </c>
      <c r="L16" s="184" t="s">
        <v>207</v>
      </c>
      <c r="M16" s="185" t="s">
        <v>248</v>
      </c>
      <c r="N16" s="183" t="s">
        <v>4</v>
      </c>
      <c r="O16" s="184" t="s">
        <v>208</v>
      </c>
      <c r="P16" s="185" t="s">
        <v>248</v>
      </c>
      <c r="Q16" s="183" t="s">
        <v>5</v>
      </c>
      <c r="R16" s="184" t="s">
        <v>209</v>
      </c>
      <c r="S16" s="185" t="s">
        <v>248</v>
      </c>
      <c r="T16" s="183" t="s">
        <v>6</v>
      </c>
      <c r="U16" s="184" t="s">
        <v>210</v>
      </c>
      <c r="V16" s="185" t="s">
        <v>248</v>
      </c>
      <c r="W16" s="183" t="s">
        <v>7</v>
      </c>
      <c r="X16" s="184" t="s">
        <v>211</v>
      </c>
      <c r="Y16" s="185" t="s">
        <v>248</v>
      </c>
      <c r="Z16" s="183" t="s">
        <v>8</v>
      </c>
      <c r="AA16" s="184" t="s">
        <v>212</v>
      </c>
      <c r="AB16" s="185" t="s">
        <v>248</v>
      </c>
      <c r="AC16" s="183" t="s">
        <v>9</v>
      </c>
      <c r="AD16" s="183" t="s">
        <v>247</v>
      </c>
      <c r="AE16" s="185" t="s">
        <v>248</v>
      </c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9"/>
    </row>
    <row r="17" spans="1:92" x14ac:dyDescent="0.25">
      <c r="A17" s="5" t="s">
        <v>129</v>
      </c>
      <c r="B17" s="8">
        <f>'Revised FY21 Budget Dept '!$C108</f>
        <v>350472</v>
      </c>
      <c r="C17" s="75" t="e">
        <f>#REF!</f>
        <v>#REF!</v>
      </c>
      <c r="D17" s="182" t="e">
        <f>(C17-B17)/B17</f>
        <v>#REF!</v>
      </c>
      <c r="E17" s="8">
        <f>'Revised FY21 Budget Dept '!$D108</f>
        <v>140555</v>
      </c>
      <c r="F17" s="75" t="e">
        <f>#REF!</f>
        <v>#REF!</v>
      </c>
      <c r="G17" s="182" t="e">
        <f>(F17-E17)/E17</f>
        <v>#REF!</v>
      </c>
      <c r="H17" s="8">
        <f>'Revised FY21 Budget Dept '!$E108</f>
        <v>0</v>
      </c>
      <c r="I17" s="75" t="e">
        <f>#REF!</f>
        <v>#REF!</v>
      </c>
      <c r="J17" s="182"/>
      <c r="K17" s="8">
        <f>'Revised FY21 Budget Dept '!$F108</f>
        <v>1300923</v>
      </c>
      <c r="L17" s="75" t="e">
        <f>#REF!</f>
        <v>#REF!</v>
      </c>
      <c r="M17" s="182" t="e">
        <f>(L17-K17)/K17</f>
        <v>#REF!</v>
      </c>
      <c r="N17" s="8">
        <f>'Revised FY21 Budget Dept '!$G108</f>
        <v>494104</v>
      </c>
      <c r="O17" s="75" t="e">
        <f>#REF!</f>
        <v>#REF!</v>
      </c>
      <c r="P17" s="182" t="e">
        <f>(O17-N17)/N17</f>
        <v>#REF!</v>
      </c>
      <c r="Q17" s="8">
        <f>'Revised FY21 Budget Dept '!$H108</f>
        <v>353861</v>
      </c>
      <c r="R17" s="75" t="e">
        <f>#REF!</f>
        <v>#REF!</v>
      </c>
      <c r="S17" s="182" t="e">
        <f>(R17-Q17)/Q17</f>
        <v>#REF!</v>
      </c>
      <c r="T17" s="8">
        <f>'Revised FY21 Budget Dept '!$I108</f>
        <v>518768</v>
      </c>
      <c r="U17" s="75" t="e">
        <f>#REF!</f>
        <v>#REF!</v>
      </c>
      <c r="V17" s="182" t="e">
        <f>(U17-T17)/T17</f>
        <v>#REF!</v>
      </c>
      <c r="W17" s="8">
        <f>'Revised FY21 Budget Dept '!$J108</f>
        <v>136456</v>
      </c>
      <c r="X17" s="75" t="e">
        <f>#REF!</f>
        <v>#REF!</v>
      </c>
      <c r="Y17" s="182" t="e">
        <f>(X17-W17)/W17</f>
        <v>#REF!</v>
      </c>
      <c r="Z17" s="8">
        <f>'Revised FY21 Budget Dept '!$K108</f>
        <v>292807</v>
      </c>
      <c r="AA17" s="75" t="e">
        <f>#REF!</f>
        <v>#REF!</v>
      </c>
      <c r="AB17" s="182" t="e">
        <f>(AA17-Z17)/Z17</f>
        <v>#REF!</v>
      </c>
      <c r="AC17" s="8">
        <f t="shared" ref="AC17:AD25" si="0">Z17+W17+T17+Q17+N17+K17+H17+E17+B17</f>
        <v>3587946</v>
      </c>
      <c r="AD17" s="8" t="e">
        <f>AA17+X17+U17+R17+O17+L17+I17+F17+C17</f>
        <v>#REF!</v>
      </c>
      <c r="AE17" s="182" t="e">
        <f>(AD17-AC17)/AC17</f>
        <v>#REF!</v>
      </c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0"/>
      <c r="BT17" s="310"/>
      <c r="BU17" s="310"/>
      <c r="BV17" s="310"/>
      <c r="BW17" s="311"/>
    </row>
    <row r="18" spans="1:92" s="143" customFormat="1" x14ac:dyDescent="0.25">
      <c r="A18" s="5" t="s">
        <v>181</v>
      </c>
      <c r="B18" s="8">
        <f>'Revised FY21 Budget Dept '!$C109</f>
        <v>345140</v>
      </c>
      <c r="C18" s="75" t="e">
        <f>#REF!</f>
        <v>#REF!</v>
      </c>
      <c r="D18" s="182" t="e">
        <f>(C18-B18)/B18</f>
        <v>#REF!</v>
      </c>
      <c r="E18" s="8">
        <f>'Revised FY21 Budget Dept '!$D109</f>
        <v>58630</v>
      </c>
      <c r="F18" s="75" t="e">
        <f>#REF!</f>
        <v>#REF!</v>
      </c>
      <c r="G18" s="182" t="e">
        <f t="shared" ref="G18:G26" si="1">(F18-E18)/E18</f>
        <v>#REF!</v>
      </c>
      <c r="H18" s="8">
        <f>'Revised FY21 Budget Dept '!$E109</f>
        <v>979818</v>
      </c>
      <c r="I18" s="75" t="e">
        <f>#REF!</f>
        <v>#REF!</v>
      </c>
      <c r="J18" s="182" t="e">
        <f t="shared" ref="J18:J26" si="2">(I18-H18)/H18</f>
        <v>#REF!</v>
      </c>
      <c r="K18" s="8">
        <f>'Revised FY21 Budget Dept '!$F109</f>
        <v>547750</v>
      </c>
      <c r="L18" s="75" t="e">
        <f>#REF!</f>
        <v>#REF!</v>
      </c>
      <c r="M18" s="182" t="e">
        <f t="shared" ref="M18:M26" si="3">(L18-K18)/K18</f>
        <v>#REF!</v>
      </c>
      <c r="N18" s="8">
        <f>'Revised FY21 Budget Dept '!$G109</f>
        <v>602050</v>
      </c>
      <c r="O18" s="75" t="e">
        <f>#REF!</f>
        <v>#REF!</v>
      </c>
      <c r="P18" s="182" t="e">
        <f>(O18-N18)/N18</f>
        <v>#REF!</v>
      </c>
      <c r="Q18" s="8">
        <f>'Revised FY21 Budget Dept '!$H109</f>
        <v>464260</v>
      </c>
      <c r="R18" s="75" t="e">
        <f>#REF!</f>
        <v>#REF!</v>
      </c>
      <c r="S18" s="182" t="e">
        <f t="shared" ref="S18:S26" si="4">(R18-Q18)/Q18</f>
        <v>#REF!</v>
      </c>
      <c r="T18" s="8">
        <f>'Revised FY21 Budget Dept '!$I109</f>
        <v>41000</v>
      </c>
      <c r="U18" s="75" t="e">
        <f>#REF!</f>
        <v>#REF!</v>
      </c>
      <c r="V18" s="182" t="e">
        <f>(U18-T18)/T18</f>
        <v>#REF!</v>
      </c>
      <c r="W18" s="8">
        <f>'Revised FY21 Budget Dept '!$J109</f>
        <v>39400</v>
      </c>
      <c r="X18" s="75" t="e">
        <f>#REF!</f>
        <v>#REF!</v>
      </c>
      <c r="Y18" s="182" t="e">
        <f>(X18-W18)/W18</f>
        <v>#REF!</v>
      </c>
      <c r="Z18" s="8">
        <f>'Revised FY21 Budget Dept '!$K109</f>
        <v>214400</v>
      </c>
      <c r="AA18" s="75" t="e">
        <f>#REF!</f>
        <v>#REF!</v>
      </c>
      <c r="AB18" s="182" t="e">
        <f t="shared" ref="AB18:AB26" si="5">(AA18-Z18)/Z18</f>
        <v>#REF!</v>
      </c>
      <c r="AC18" s="8">
        <f t="shared" si="0"/>
        <v>3292448</v>
      </c>
      <c r="AD18" s="8" t="e">
        <f t="shared" si="0"/>
        <v>#REF!</v>
      </c>
      <c r="AE18" s="182" t="e">
        <f t="shared" ref="AE18:AE26" si="6">(AD18-AC18)/AC18</f>
        <v>#REF!</v>
      </c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0"/>
      <c r="BF18" s="310"/>
      <c r="BG18" s="310"/>
      <c r="BH18" s="310"/>
      <c r="BI18" s="310"/>
      <c r="BJ18" s="310"/>
      <c r="BK18" s="310"/>
      <c r="BL18" s="310"/>
      <c r="BM18" s="310"/>
      <c r="BN18" s="310"/>
      <c r="BO18" s="312"/>
      <c r="BP18" s="310"/>
      <c r="BQ18" s="310"/>
      <c r="BR18" s="310"/>
      <c r="BS18" s="310"/>
      <c r="BT18" s="310"/>
      <c r="BU18" s="310"/>
      <c r="BV18" s="310"/>
      <c r="BW18" s="311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</row>
    <row r="19" spans="1:92" s="143" customFormat="1" x14ac:dyDescent="0.25">
      <c r="A19" s="5" t="s">
        <v>182</v>
      </c>
      <c r="B19" s="8">
        <f>'Revised FY21 Budget Dept '!$C110</f>
        <v>0</v>
      </c>
      <c r="C19" s="75" t="e">
        <f>#REF!</f>
        <v>#REF!</v>
      </c>
      <c r="D19" s="182"/>
      <c r="E19" s="8">
        <f>'Revised FY21 Budget Dept '!$D110</f>
        <v>18200</v>
      </c>
      <c r="F19" s="75" t="e">
        <f>#REF!</f>
        <v>#REF!</v>
      </c>
      <c r="G19" s="182" t="e">
        <f t="shared" si="1"/>
        <v>#REF!</v>
      </c>
      <c r="H19" s="8">
        <f>'Revised FY21 Budget Dept '!$E110</f>
        <v>500</v>
      </c>
      <c r="I19" s="75" t="e">
        <f>#REF!</f>
        <v>#REF!</v>
      </c>
      <c r="J19" s="182" t="e">
        <f t="shared" si="2"/>
        <v>#REF!</v>
      </c>
      <c r="K19" s="8">
        <f>'Revised FY21 Budget Dept '!$F110</f>
        <v>0</v>
      </c>
      <c r="L19" s="75" t="e">
        <f>#REF!</f>
        <v>#REF!</v>
      </c>
      <c r="M19" s="182"/>
      <c r="N19" s="8">
        <f>'Revised FY21 Budget Dept '!$G110</f>
        <v>0</v>
      </c>
      <c r="O19" s="75" t="e">
        <f>#REF!</f>
        <v>#REF!</v>
      </c>
      <c r="P19" s="182"/>
      <c r="Q19" s="8">
        <f>'Revised FY21 Budget Dept '!$H110</f>
        <v>22050</v>
      </c>
      <c r="R19" s="75" t="e">
        <f>#REF!</f>
        <v>#REF!</v>
      </c>
      <c r="S19" s="182" t="e">
        <f t="shared" si="4"/>
        <v>#REF!</v>
      </c>
      <c r="T19" s="8">
        <f>'Revised FY21 Budget Dept '!$I110</f>
        <v>0</v>
      </c>
      <c r="U19" s="75" t="e">
        <f>#REF!</f>
        <v>#REF!</v>
      </c>
      <c r="V19" s="182"/>
      <c r="W19" s="8">
        <f>'Revised FY21 Budget Dept '!$J110</f>
        <v>0</v>
      </c>
      <c r="X19" s="75" t="e">
        <f>#REF!</f>
        <v>#REF!</v>
      </c>
      <c r="Y19" s="182"/>
      <c r="Z19" s="8">
        <f>'Revised FY21 Budget Dept '!$K110</f>
        <v>67300</v>
      </c>
      <c r="AA19" s="75" t="e">
        <f>#REF!</f>
        <v>#REF!</v>
      </c>
      <c r="AB19" s="182" t="e">
        <f t="shared" si="5"/>
        <v>#REF!</v>
      </c>
      <c r="AC19" s="8">
        <f t="shared" si="0"/>
        <v>108050</v>
      </c>
      <c r="AD19" s="8" t="e">
        <f t="shared" si="0"/>
        <v>#REF!</v>
      </c>
      <c r="AE19" s="182" t="e">
        <f t="shared" si="6"/>
        <v>#REF!</v>
      </c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312"/>
      <c r="BP19" s="310"/>
      <c r="BQ19" s="310"/>
      <c r="BR19" s="310"/>
      <c r="BS19" s="310"/>
      <c r="BT19" s="310"/>
      <c r="BU19" s="310"/>
      <c r="BV19" s="310"/>
      <c r="BW19" s="311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</row>
    <row r="20" spans="1:92" s="143" customFormat="1" x14ac:dyDescent="0.25">
      <c r="A20" s="5" t="s">
        <v>130</v>
      </c>
      <c r="B20" s="8">
        <f>'Revised FY21 Budget Dept '!$C111</f>
        <v>0</v>
      </c>
      <c r="C20" s="75" t="e">
        <f>#REF!</f>
        <v>#REF!</v>
      </c>
      <c r="D20" s="182"/>
      <c r="E20" s="8">
        <f>'Revised FY21 Budget Dept '!$D111</f>
        <v>23600</v>
      </c>
      <c r="F20" s="75" t="e">
        <f>#REF!</f>
        <v>#REF!</v>
      </c>
      <c r="G20" s="182" t="e">
        <f t="shared" si="1"/>
        <v>#REF!</v>
      </c>
      <c r="H20" s="8">
        <f>'Revised FY21 Budget Dept '!$E111</f>
        <v>0</v>
      </c>
      <c r="I20" s="75" t="e">
        <f>#REF!</f>
        <v>#REF!</v>
      </c>
      <c r="J20" s="182"/>
      <c r="K20" s="8">
        <f>'Revised FY21 Budget Dept '!$F111</f>
        <v>0</v>
      </c>
      <c r="L20" s="75" t="e">
        <f>#REF!</f>
        <v>#REF!</v>
      </c>
      <c r="M20" s="182"/>
      <c r="N20" s="8">
        <f>'Revised FY21 Budget Dept '!$G111</f>
        <v>0</v>
      </c>
      <c r="O20" s="75" t="e">
        <f>#REF!</f>
        <v>#REF!</v>
      </c>
      <c r="P20" s="182"/>
      <c r="Q20" s="8">
        <f>'Revised FY21 Budget Dept '!$H111</f>
        <v>0</v>
      </c>
      <c r="R20" s="75" t="e">
        <f>#REF!</f>
        <v>#REF!</v>
      </c>
      <c r="S20" s="182"/>
      <c r="T20" s="8">
        <f>'Revised FY21 Budget Dept '!$I111</f>
        <v>0</v>
      </c>
      <c r="U20" s="75" t="e">
        <f>#REF!</f>
        <v>#REF!</v>
      </c>
      <c r="V20" s="182"/>
      <c r="W20" s="8">
        <f>'Revised FY21 Budget Dept '!$J111</f>
        <v>0</v>
      </c>
      <c r="X20" s="75" t="e">
        <f>#REF!</f>
        <v>#REF!</v>
      </c>
      <c r="Y20" s="182"/>
      <c r="Z20" s="8">
        <f>'Revised FY21 Budget Dept '!$K111</f>
        <v>0</v>
      </c>
      <c r="AA20" s="75" t="e">
        <f>#REF!</f>
        <v>#REF!</v>
      </c>
      <c r="AB20" s="182"/>
      <c r="AC20" s="8">
        <f t="shared" si="0"/>
        <v>23600</v>
      </c>
      <c r="AD20" s="8" t="e">
        <f t="shared" si="0"/>
        <v>#REF!</v>
      </c>
      <c r="AE20" s="182" t="e">
        <f t="shared" si="6"/>
        <v>#REF!</v>
      </c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2"/>
      <c r="BP20" s="310"/>
      <c r="BQ20" s="310"/>
      <c r="BR20" s="310"/>
      <c r="BS20" s="310"/>
      <c r="BT20" s="310"/>
      <c r="BU20" s="310"/>
      <c r="BV20" s="310"/>
      <c r="BW20" s="311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</row>
    <row r="21" spans="1:92" s="143" customFormat="1" x14ac:dyDescent="0.25">
      <c r="A21" s="5" t="s">
        <v>131</v>
      </c>
      <c r="B21" s="8">
        <f>'Revised FY21 Budget Dept '!$C112</f>
        <v>0</v>
      </c>
      <c r="C21" s="75" t="e">
        <f>#REF!</f>
        <v>#REF!</v>
      </c>
      <c r="D21" s="182"/>
      <c r="E21" s="8">
        <f>'Revised FY21 Budget Dept '!$D112</f>
        <v>0</v>
      </c>
      <c r="F21" s="75" t="e">
        <f>#REF!</f>
        <v>#REF!</v>
      </c>
      <c r="G21" s="182"/>
      <c r="H21" s="8">
        <f>'Revised FY21 Budget Dept '!$E112</f>
        <v>0</v>
      </c>
      <c r="I21" s="75" t="e">
        <f>#REF!</f>
        <v>#REF!</v>
      </c>
      <c r="J21" s="182"/>
      <c r="K21" s="8">
        <f>'Revised FY21 Budget Dept '!$F112</f>
        <v>13788</v>
      </c>
      <c r="L21" s="75" t="e">
        <f>#REF!</f>
        <v>#REF!</v>
      </c>
      <c r="M21" s="182" t="e">
        <f t="shared" si="3"/>
        <v>#REF!</v>
      </c>
      <c r="N21" s="8">
        <f>'Revised FY21 Budget Dept '!$G112</f>
        <v>0</v>
      </c>
      <c r="O21" s="75" t="e">
        <f>#REF!</f>
        <v>#REF!</v>
      </c>
      <c r="P21" s="182"/>
      <c r="Q21" s="8">
        <f>'Revised FY21 Budget Dept '!$H112</f>
        <v>0</v>
      </c>
      <c r="R21" s="75" t="e">
        <f>#REF!</f>
        <v>#REF!</v>
      </c>
      <c r="S21" s="182"/>
      <c r="T21" s="8">
        <f>'Revised FY21 Budget Dept '!$I112</f>
        <v>0</v>
      </c>
      <c r="U21" s="75" t="e">
        <f>#REF!</f>
        <v>#REF!</v>
      </c>
      <c r="V21" s="182"/>
      <c r="W21" s="8">
        <f>'Revised FY21 Budget Dept '!$J112</f>
        <v>0</v>
      </c>
      <c r="X21" s="75" t="e">
        <f>#REF!</f>
        <v>#REF!</v>
      </c>
      <c r="Y21" s="182"/>
      <c r="Z21" s="8">
        <f>'Revised FY21 Budget Dept '!$K112</f>
        <v>0</v>
      </c>
      <c r="AA21" s="75" t="e">
        <f>#REF!</f>
        <v>#REF!</v>
      </c>
      <c r="AB21" s="182"/>
      <c r="AC21" s="8">
        <f t="shared" si="0"/>
        <v>13788</v>
      </c>
      <c r="AD21" s="8" t="e">
        <f t="shared" si="0"/>
        <v>#REF!</v>
      </c>
      <c r="AE21" s="182" t="e">
        <f t="shared" si="6"/>
        <v>#REF!</v>
      </c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310"/>
      <c r="BL21" s="310"/>
      <c r="BM21" s="310"/>
      <c r="BN21" s="310"/>
      <c r="BO21" s="312"/>
      <c r="BP21" s="310"/>
      <c r="BQ21" s="310"/>
      <c r="BR21" s="310"/>
      <c r="BS21" s="310"/>
      <c r="BT21" s="310"/>
      <c r="BU21" s="310"/>
      <c r="BV21" s="310"/>
      <c r="BW21" s="311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</row>
    <row r="22" spans="1:92" s="143" customFormat="1" x14ac:dyDescent="0.25">
      <c r="A22" s="5" t="s">
        <v>90</v>
      </c>
      <c r="B22" s="8">
        <f>'Revised FY21 Budget Dept '!$C113</f>
        <v>0</v>
      </c>
      <c r="C22" s="75" t="e">
        <f>#REF!</f>
        <v>#REF!</v>
      </c>
      <c r="D22" s="182"/>
      <c r="E22" s="8">
        <f>'Revised FY21 Budget Dept '!$D113</f>
        <v>0</v>
      </c>
      <c r="F22" s="75" t="e">
        <f>#REF!</f>
        <v>#REF!</v>
      </c>
      <c r="G22" s="182"/>
      <c r="H22" s="8">
        <f>'Revised FY21 Budget Dept '!$E113</f>
        <v>0</v>
      </c>
      <c r="I22" s="75" t="e">
        <f>#REF!</f>
        <v>#REF!</v>
      </c>
      <c r="J22" s="182"/>
      <c r="K22" s="8">
        <f>'Revised FY21 Budget Dept '!$F113</f>
        <v>0</v>
      </c>
      <c r="L22" s="75" t="e">
        <f>#REF!</f>
        <v>#REF!</v>
      </c>
      <c r="M22" s="182"/>
      <c r="N22" s="8">
        <f>'Revised FY21 Budget Dept '!$G113</f>
        <v>0</v>
      </c>
      <c r="O22" s="75" t="e">
        <f>#REF!</f>
        <v>#REF!</v>
      </c>
      <c r="P22" s="182"/>
      <c r="Q22" s="8">
        <f>'Revised FY21 Budget Dept '!$H113</f>
        <v>0</v>
      </c>
      <c r="R22" s="75" t="e">
        <f>#REF!</f>
        <v>#REF!</v>
      </c>
      <c r="S22" s="182"/>
      <c r="T22" s="8">
        <f>'Revised FY21 Budget Dept '!$I113</f>
        <v>0</v>
      </c>
      <c r="U22" s="75" t="e">
        <f>#REF!</f>
        <v>#REF!</v>
      </c>
      <c r="V22" s="182"/>
      <c r="W22" s="8">
        <f>'Revised FY21 Budget Dept '!$J113</f>
        <v>0</v>
      </c>
      <c r="X22" s="75" t="e">
        <f>#REF!</f>
        <v>#REF!</v>
      </c>
      <c r="Y22" s="182"/>
      <c r="Z22" s="8">
        <f>'Revised FY21 Budget Dept '!$K113</f>
        <v>0</v>
      </c>
      <c r="AA22" s="75" t="e">
        <f>#REF!</f>
        <v>#REF!</v>
      </c>
      <c r="AB22" s="182"/>
      <c r="AC22" s="8">
        <f t="shared" si="0"/>
        <v>0</v>
      </c>
      <c r="AD22" s="8" t="e">
        <f t="shared" si="0"/>
        <v>#REF!</v>
      </c>
      <c r="AE22" s="182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/>
      <c r="BO22" s="312"/>
      <c r="BP22" s="310"/>
      <c r="BQ22" s="310"/>
      <c r="BR22" s="310"/>
      <c r="BS22" s="310"/>
      <c r="BT22" s="310"/>
      <c r="BU22" s="310"/>
      <c r="BV22" s="310"/>
      <c r="BW22" s="311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</row>
    <row r="23" spans="1:92" s="143" customFormat="1" x14ac:dyDescent="0.25">
      <c r="A23" s="5" t="s">
        <v>132</v>
      </c>
      <c r="B23" s="8">
        <f>'Revised FY21 Budget Dept '!$C114</f>
        <v>65540</v>
      </c>
      <c r="C23" s="75" t="e">
        <f>#REF!</f>
        <v>#REF!</v>
      </c>
      <c r="D23" s="182" t="e">
        <f>(C23-B23)/B23</f>
        <v>#REF!</v>
      </c>
      <c r="E23" s="8">
        <f>'Revised FY21 Budget Dept '!$D114</f>
        <v>1750</v>
      </c>
      <c r="F23" s="75" t="e">
        <f>#REF!</f>
        <v>#REF!</v>
      </c>
      <c r="G23" s="182" t="e">
        <f t="shared" si="1"/>
        <v>#REF!</v>
      </c>
      <c r="H23" s="8">
        <f>'Revised FY21 Budget Dept '!$E114</f>
        <v>31100</v>
      </c>
      <c r="I23" s="75" t="e">
        <f>#REF!</f>
        <v>#REF!</v>
      </c>
      <c r="J23" s="182" t="e">
        <f t="shared" si="2"/>
        <v>#REF!</v>
      </c>
      <c r="K23" s="8">
        <f>'Revised FY21 Budget Dept '!$F114</f>
        <v>30689</v>
      </c>
      <c r="L23" s="75" t="e">
        <f>#REF!</f>
        <v>#REF!</v>
      </c>
      <c r="M23" s="182" t="e">
        <f t="shared" si="3"/>
        <v>#REF!</v>
      </c>
      <c r="N23" s="8">
        <f>'Revised FY21 Budget Dept '!$G114</f>
        <v>27960</v>
      </c>
      <c r="O23" s="75" t="e">
        <f>#REF!</f>
        <v>#REF!</v>
      </c>
      <c r="P23" s="182" t="e">
        <f>(O23-N23)/N23</f>
        <v>#REF!</v>
      </c>
      <c r="Q23" s="8">
        <f>'Revised FY21 Budget Dept '!$H114</f>
        <v>16965</v>
      </c>
      <c r="R23" s="75" t="e">
        <f>#REF!</f>
        <v>#REF!</v>
      </c>
      <c r="S23" s="182" t="e">
        <f t="shared" si="4"/>
        <v>#REF!</v>
      </c>
      <c r="T23" s="8">
        <f>'Revised FY21 Budget Dept '!$I114</f>
        <v>0</v>
      </c>
      <c r="U23" s="75" t="e">
        <f>#REF!</f>
        <v>#REF!</v>
      </c>
      <c r="V23" s="182"/>
      <c r="W23" s="8">
        <f>'Revised FY21 Budget Dept '!$J114</f>
        <v>29800</v>
      </c>
      <c r="X23" s="75" t="e">
        <f>#REF!</f>
        <v>#REF!</v>
      </c>
      <c r="Y23" s="182" t="e">
        <f>(X23-W23)/W23</f>
        <v>#REF!</v>
      </c>
      <c r="Z23" s="8">
        <f>'Revised FY21 Budget Dept '!$K114</f>
        <v>8200</v>
      </c>
      <c r="AA23" s="75" t="e">
        <f>#REF!</f>
        <v>#REF!</v>
      </c>
      <c r="AB23" s="182" t="e">
        <f t="shared" si="5"/>
        <v>#REF!</v>
      </c>
      <c r="AC23" s="8">
        <f t="shared" si="0"/>
        <v>212004</v>
      </c>
      <c r="AD23" s="8" t="e">
        <f t="shared" si="0"/>
        <v>#REF!</v>
      </c>
      <c r="AE23" s="182" t="e">
        <f t="shared" si="6"/>
        <v>#REF!</v>
      </c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0"/>
      <c r="BL23" s="310"/>
      <c r="BM23" s="310"/>
      <c r="BN23" s="310"/>
      <c r="BO23" s="312"/>
      <c r="BP23" s="310"/>
      <c r="BQ23" s="310"/>
      <c r="BR23" s="310"/>
      <c r="BS23" s="310"/>
      <c r="BT23" s="310"/>
      <c r="BU23" s="310"/>
      <c r="BV23" s="310"/>
      <c r="BW23" s="311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</row>
    <row r="24" spans="1:92" s="143" customFormat="1" x14ac:dyDescent="0.25">
      <c r="A24" s="5" t="s">
        <v>133</v>
      </c>
      <c r="B24" s="8">
        <f>'Revised FY21 Budget Dept '!$C115</f>
        <v>0</v>
      </c>
      <c r="C24" s="75" t="e">
        <f>#REF!</f>
        <v>#REF!</v>
      </c>
      <c r="D24" s="182"/>
      <c r="E24" s="8">
        <f>'Revised FY21 Budget Dept '!$D115</f>
        <v>127800</v>
      </c>
      <c r="F24" s="75" t="e">
        <f>#REF!</f>
        <v>#REF!</v>
      </c>
      <c r="G24" s="182" t="e">
        <f t="shared" si="1"/>
        <v>#REF!</v>
      </c>
      <c r="H24" s="8">
        <f>'Revised FY21 Budget Dept '!$E115</f>
        <v>0</v>
      </c>
      <c r="I24" s="75" t="e">
        <f>#REF!</f>
        <v>#REF!</v>
      </c>
      <c r="J24" s="182"/>
      <c r="K24" s="8">
        <f>'Revised FY21 Budget Dept '!$F115</f>
        <v>0</v>
      </c>
      <c r="L24" s="75" t="e">
        <f>#REF!</f>
        <v>#REF!</v>
      </c>
      <c r="M24" s="182"/>
      <c r="N24" s="8">
        <f>'Revised FY21 Budget Dept '!$G115</f>
        <v>0</v>
      </c>
      <c r="O24" s="75" t="e">
        <f>#REF!</f>
        <v>#REF!</v>
      </c>
      <c r="P24" s="182"/>
      <c r="Q24" s="8">
        <f>'Revised FY21 Budget Dept '!$H115</f>
        <v>3600</v>
      </c>
      <c r="R24" s="75" t="e">
        <f>#REF!</f>
        <v>#REF!</v>
      </c>
      <c r="S24" s="182" t="e">
        <f t="shared" si="4"/>
        <v>#REF!</v>
      </c>
      <c r="T24" s="8">
        <f>'Revised FY21 Budget Dept '!$I115</f>
        <v>0</v>
      </c>
      <c r="U24" s="75" t="e">
        <f>#REF!</f>
        <v>#REF!</v>
      </c>
      <c r="V24" s="182"/>
      <c r="W24" s="8">
        <f>'Revised FY21 Budget Dept '!$J115</f>
        <v>0</v>
      </c>
      <c r="X24" s="75" t="e">
        <f>#REF!</f>
        <v>#REF!</v>
      </c>
      <c r="Y24" s="182"/>
      <c r="Z24" s="8">
        <f>'Revised FY21 Budget Dept '!$K115</f>
        <v>0</v>
      </c>
      <c r="AA24" s="75" t="e">
        <f>#REF!</f>
        <v>#REF!</v>
      </c>
      <c r="AB24" s="182"/>
      <c r="AC24" s="8">
        <f t="shared" si="0"/>
        <v>131400</v>
      </c>
      <c r="AD24" s="8" t="e">
        <f t="shared" si="0"/>
        <v>#REF!</v>
      </c>
      <c r="AE24" s="182" t="e">
        <f t="shared" si="6"/>
        <v>#REF!</v>
      </c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2"/>
      <c r="BP24" s="310"/>
      <c r="BQ24" s="310"/>
      <c r="BR24" s="310"/>
      <c r="BS24" s="310"/>
      <c r="BT24" s="310"/>
      <c r="BU24" s="310"/>
      <c r="BV24" s="310"/>
      <c r="BW24" s="311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</row>
    <row r="25" spans="1:92" s="143" customFormat="1" x14ac:dyDescent="0.25">
      <c r="A25" s="5" t="s">
        <v>134</v>
      </c>
      <c r="B25" s="8">
        <f>'Revised FY21 Budget Dept '!$C116</f>
        <v>0</v>
      </c>
      <c r="C25" s="75" t="e">
        <f>#REF!</f>
        <v>#REF!</v>
      </c>
      <c r="D25" s="182"/>
      <c r="E25" s="8"/>
      <c r="F25" s="75" t="e">
        <f>#REF!</f>
        <v>#REF!</v>
      </c>
      <c r="G25" s="182"/>
      <c r="H25" s="8">
        <f>'Revised FY21 Budget Dept '!$E116</f>
        <v>0</v>
      </c>
      <c r="I25" s="75" t="e">
        <f>#REF!</f>
        <v>#REF!</v>
      </c>
      <c r="J25" s="182"/>
      <c r="K25" s="8">
        <f>'Revised FY21 Budget Dept '!$F116</f>
        <v>0</v>
      </c>
      <c r="L25" s="75" t="e">
        <f>#REF!</f>
        <v>#REF!</v>
      </c>
      <c r="M25" s="182"/>
      <c r="N25" s="8">
        <f>'Revised FY21 Budget Dept '!$G116</f>
        <v>0</v>
      </c>
      <c r="O25" s="75" t="e">
        <f>#REF!</f>
        <v>#REF!</v>
      </c>
      <c r="P25" s="182"/>
      <c r="Q25" s="8">
        <f>'Revised FY21 Budget Dept '!$H116</f>
        <v>0</v>
      </c>
      <c r="R25" s="75" t="e">
        <f>#REF!</f>
        <v>#REF!</v>
      </c>
      <c r="S25" s="182"/>
      <c r="T25" s="8">
        <f>'Revised FY21 Budget Dept '!$I116</f>
        <v>0</v>
      </c>
      <c r="U25" s="75" t="e">
        <f>#REF!</f>
        <v>#REF!</v>
      </c>
      <c r="V25" s="182"/>
      <c r="W25" s="8">
        <f>'Revised FY21 Budget Dept '!$J116</f>
        <v>0</v>
      </c>
      <c r="X25" s="75" t="e">
        <f>#REF!</f>
        <v>#REF!</v>
      </c>
      <c r="Y25" s="182"/>
      <c r="Z25" s="8">
        <f>'Revised FY21 Budget Dept '!$K116</f>
        <v>0</v>
      </c>
      <c r="AA25" s="75" t="e">
        <f>#REF!</f>
        <v>#REF!</v>
      </c>
      <c r="AB25" s="182"/>
      <c r="AC25" s="8">
        <f t="shared" si="0"/>
        <v>0</v>
      </c>
      <c r="AD25" s="8" t="e">
        <f t="shared" si="0"/>
        <v>#REF!</v>
      </c>
      <c r="AE25" s="182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/>
      <c r="BI25" s="310"/>
      <c r="BJ25" s="310"/>
      <c r="BK25" s="310"/>
      <c r="BL25" s="310"/>
      <c r="BM25" s="310"/>
      <c r="BN25" s="310"/>
      <c r="BO25" s="312"/>
      <c r="BP25" s="310"/>
      <c r="BQ25" s="310"/>
      <c r="BR25" s="310"/>
      <c r="BS25" s="310"/>
      <c r="BT25" s="310"/>
      <c r="BU25" s="310"/>
      <c r="BV25" s="310"/>
      <c r="BW25" s="311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</row>
    <row r="26" spans="1:92" s="143" customFormat="1" ht="13.8" thickBot="1" x14ac:dyDescent="0.3">
      <c r="A26" s="188" t="s">
        <v>128</v>
      </c>
      <c r="B26" s="181">
        <f>SUM(B17:B25)</f>
        <v>761152</v>
      </c>
      <c r="C26" s="181" t="e">
        <f>SUM(C17:C25)</f>
        <v>#REF!</v>
      </c>
      <c r="D26" s="186" t="e">
        <f>(C26-B26)/B26</f>
        <v>#REF!</v>
      </c>
      <c r="E26" s="181">
        <f>SUM(E17:E25)</f>
        <v>370535</v>
      </c>
      <c r="F26" s="181" t="e">
        <f>SUM(F17:F25)</f>
        <v>#REF!</v>
      </c>
      <c r="G26" s="186" t="e">
        <f t="shared" si="1"/>
        <v>#REF!</v>
      </c>
      <c r="H26" s="181">
        <f>SUM(H17:H25)</f>
        <v>1011418</v>
      </c>
      <c r="I26" s="181" t="e">
        <f>SUM(I17:I25)</f>
        <v>#REF!</v>
      </c>
      <c r="J26" s="186" t="e">
        <f t="shared" si="2"/>
        <v>#REF!</v>
      </c>
      <c r="K26" s="181">
        <f>SUM(K17:K25)</f>
        <v>1893150</v>
      </c>
      <c r="L26" s="181" t="e">
        <f>SUM(L17:L25)</f>
        <v>#REF!</v>
      </c>
      <c r="M26" s="186" t="e">
        <f t="shared" si="3"/>
        <v>#REF!</v>
      </c>
      <c r="N26" s="181">
        <f>SUM(N17:N25)</f>
        <v>1124114</v>
      </c>
      <c r="O26" s="181" t="e">
        <f>SUM(O17:O25)</f>
        <v>#REF!</v>
      </c>
      <c r="P26" s="186" t="e">
        <f>(O26-N26)/N26</f>
        <v>#REF!</v>
      </c>
      <c r="Q26" s="181">
        <f>SUM(Q17:Q25)</f>
        <v>860736</v>
      </c>
      <c r="R26" s="181" t="e">
        <f>SUM(R17:R25)</f>
        <v>#REF!</v>
      </c>
      <c r="S26" s="186" t="e">
        <f t="shared" si="4"/>
        <v>#REF!</v>
      </c>
      <c r="T26" s="181">
        <f>SUM(T17:T25)</f>
        <v>559768</v>
      </c>
      <c r="U26" s="181" t="e">
        <f>SUM(U17:U25)</f>
        <v>#REF!</v>
      </c>
      <c r="V26" s="186" t="e">
        <f>(U26-T26)/T26</f>
        <v>#REF!</v>
      </c>
      <c r="W26" s="181">
        <f>SUM(W17:W25)</f>
        <v>205656</v>
      </c>
      <c r="X26" s="181" t="e">
        <f>SUM(X17:X25)</f>
        <v>#REF!</v>
      </c>
      <c r="Y26" s="186" t="e">
        <f>(X26-W26)/W26</f>
        <v>#REF!</v>
      </c>
      <c r="Z26" s="181">
        <f>SUM(Z17:Z25)</f>
        <v>582707</v>
      </c>
      <c r="AA26" s="181" t="e">
        <f>SUM(AA17:AA25)</f>
        <v>#REF!</v>
      </c>
      <c r="AB26" s="186" t="e">
        <f t="shared" si="5"/>
        <v>#REF!</v>
      </c>
      <c r="AC26" s="180">
        <f>SUM(AC17:AC25)</f>
        <v>7369236</v>
      </c>
      <c r="AD26" s="180" t="e">
        <f>SUM(AD17:AD25)</f>
        <v>#REF!</v>
      </c>
      <c r="AE26" s="186" t="e">
        <f t="shared" si="6"/>
        <v>#REF!</v>
      </c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  <c r="BE26" s="310"/>
      <c r="BF26" s="310"/>
      <c r="BG26" s="310"/>
      <c r="BH26" s="310"/>
      <c r="BI26" s="310"/>
      <c r="BJ26" s="310"/>
      <c r="BK26" s="310"/>
      <c r="BL26" s="310"/>
      <c r="BM26" s="310"/>
      <c r="BN26" s="310"/>
      <c r="BO26" s="312"/>
      <c r="BP26" s="310"/>
      <c r="BQ26" s="310"/>
      <c r="BR26" s="310"/>
      <c r="BS26" s="310"/>
      <c r="BT26" s="310"/>
      <c r="BU26" s="310"/>
      <c r="BV26" s="310"/>
      <c r="BW26" s="311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</row>
    <row r="27" spans="1:92" s="143" customFormat="1" ht="13.8" thickTop="1" x14ac:dyDescent="0.25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35"/>
      <c r="AR27" s="8"/>
      <c r="AS27" s="8"/>
      <c r="AT27" s="8"/>
      <c r="AU27" s="8"/>
      <c r="AV27" s="8"/>
      <c r="AW27" s="8"/>
      <c r="AX27" s="8"/>
      <c r="AY27" s="168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31" spans="1:92" ht="41.7" customHeight="1" x14ac:dyDescent="0.25">
      <c r="A31" s="187" t="s">
        <v>250</v>
      </c>
      <c r="B31" s="183" t="s">
        <v>10</v>
      </c>
      <c r="C31" s="183" t="s">
        <v>11</v>
      </c>
      <c r="D31" s="183" t="s">
        <v>214</v>
      </c>
      <c r="E31" s="183" t="s">
        <v>215</v>
      </c>
      <c r="F31" s="185" t="s">
        <v>248</v>
      </c>
      <c r="G31" s="183" t="s">
        <v>12</v>
      </c>
      <c r="H31" s="183" t="s">
        <v>13</v>
      </c>
      <c r="I31" s="184" t="s">
        <v>216</v>
      </c>
      <c r="J31" s="184" t="s">
        <v>217</v>
      </c>
      <c r="K31" s="185" t="s">
        <v>248</v>
      </c>
      <c r="L31" s="183" t="s">
        <v>14</v>
      </c>
      <c r="M31" s="183" t="s">
        <v>15</v>
      </c>
      <c r="N31" s="184" t="s">
        <v>218</v>
      </c>
      <c r="O31" s="184" t="s">
        <v>219</v>
      </c>
      <c r="P31" s="185" t="s">
        <v>248</v>
      </c>
      <c r="Q31" s="183" t="s">
        <v>16</v>
      </c>
      <c r="R31" s="184" t="s">
        <v>220</v>
      </c>
      <c r="S31" s="185" t="s">
        <v>248</v>
      </c>
      <c r="T31" s="183" t="s">
        <v>251</v>
      </c>
      <c r="U31" s="183" t="s">
        <v>252</v>
      </c>
      <c r="V31" s="185" t="s">
        <v>248</v>
      </c>
      <c r="AY31" s="8"/>
      <c r="AZ31" s="8"/>
      <c r="BA31" s="8"/>
      <c r="BB31" s="8"/>
      <c r="BC31" s="8"/>
    </row>
    <row r="32" spans="1:92" s="200" customFormat="1" x14ac:dyDescent="0.25">
      <c r="A32" s="195" t="s">
        <v>37</v>
      </c>
      <c r="B32" s="196">
        <f>'Revised FY21 Budget Dept '!$N2</f>
        <v>0</v>
      </c>
      <c r="C32" s="196">
        <f>'Revised FY21 Budget Dept '!$O2</f>
        <v>0</v>
      </c>
      <c r="D32" s="196" t="e">
        <f>#REF!</f>
        <v>#REF!</v>
      </c>
      <c r="E32" s="196" t="e">
        <f>#REF!</f>
        <v>#REF!</v>
      </c>
      <c r="F32" s="201"/>
      <c r="G32" s="196">
        <f>'Revised FY21 Budget Dept '!$R2</f>
        <v>6745</v>
      </c>
      <c r="H32" s="196">
        <f>'Revised FY21 Budget Dept '!$S2</f>
        <v>0</v>
      </c>
      <c r="I32" s="196" t="e">
        <f>#REF!</f>
        <v>#REF!</v>
      </c>
      <c r="J32" s="196" t="e">
        <f>#REF!</f>
        <v>#REF!</v>
      </c>
      <c r="K32" s="201" t="e">
        <f>(SUM(I32,J32)-SUM(H32,G32))/SUM(H32,G32)</f>
        <v>#REF!</v>
      </c>
      <c r="L32" s="196">
        <f>'Revised FY21 Budget Dept '!$T2</f>
        <v>1149</v>
      </c>
      <c r="M32" s="196">
        <f>'Revised FY21 Budget Dept '!$U2</f>
        <v>0</v>
      </c>
      <c r="N32" s="196" t="e">
        <f>#REF!</f>
        <v>#REF!</v>
      </c>
      <c r="O32" s="196" t="e">
        <f>#REF!</f>
        <v>#REF!</v>
      </c>
      <c r="P32" s="201" t="e">
        <f>(SUM(N32,O32)-SUM(M32,L32))/SUM(M32,L32)</f>
        <v>#REF!</v>
      </c>
      <c r="Q32" s="196">
        <f>'Revised FY21 Budget Dept '!$V2</f>
        <v>0</v>
      </c>
      <c r="R32" s="198" t="e">
        <f>#REF!</f>
        <v>#REF!</v>
      </c>
      <c r="S32" s="201"/>
      <c r="T32" s="196">
        <f>+Q32+M32+L32+H32+G32+C32+B32</f>
        <v>7894</v>
      </c>
      <c r="U32" s="196" t="e">
        <f>+R32+O32+N32+J32+I32+E32+D32</f>
        <v>#REF!</v>
      </c>
      <c r="V32" s="201" t="e">
        <f>(U32-T32)/T32</f>
        <v>#REF!</v>
      </c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</row>
    <row r="33" spans="1:55" s="200" customFormat="1" x14ac:dyDescent="0.25">
      <c r="A33" s="195" t="s">
        <v>38</v>
      </c>
      <c r="B33" s="196">
        <f>'Revised FY21 Budget Dept '!$N3</f>
        <v>2830121</v>
      </c>
      <c r="C33" s="196">
        <f>'Revised FY21 Budget Dept '!$O3</f>
        <v>0</v>
      </c>
      <c r="D33" s="196" t="e">
        <f>#REF!</f>
        <v>#REF!</v>
      </c>
      <c r="E33" s="196" t="e">
        <f>#REF!</f>
        <v>#REF!</v>
      </c>
      <c r="F33" s="201" t="e">
        <f>(SUM(D33,E33)-SUM(C33,B33))/SUM(C33,B33)</f>
        <v>#REF!</v>
      </c>
      <c r="G33" s="196">
        <f>'Revised FY21 Budget Dept '!$R3</f>
        <v>318254</v>
      </c>
      <c r="H33" s="196">
        <f>'Revised FY21 Budget Dept '!$S3</f>
        <v>0</v>
      </c>
      <c r="I33" s="196" t="e">
        <f>#REF!</f>
        <v>#REF!</v>
      </c>
      <c r="J33" s="196" t="e">
        <f>#REF!</f>
        <v>#REF!</v>
      </c>
      <c r="K33" s="201" t="e">
        <f>(SUM(I33,J33)-SUM(H33,G33))/SUM(H33,G33)</f>
        <v>#REF!</v>
      </c>
      <c r="L33" s="196">
        <f>'Revised FY21 Budget Dept '!$T3</f>
        <v>311385</v>
      </c>
      <c r="M33" s="196">
        <f>'Revised FY21 Budget Dept '!$U3</f>
        <v>0</v>
      </c>
      <c r="N33" s="196" t="e">
        <f>#REF!</f>
        <v>#REF!</v>
      </c>
      <c r="O33" s="196" t="e">
        <f>#REF!</f>
        <v>#REF!</v>
      </c>
      <c r="P33" s="201" t="e">
        <f>(SUM(N33,O33)-SUM(M33,L33))/SUM(M33,L33)</f>
        <v>#REF!</v>
      </c>
      <c r="Q33" s="196">
        <f>'Revised FY21 Budget Dept '!$V3</f>
        <v>50000</v>
      </c>
      <c r="R33" s="198" t="e">
        <f>#REF!</f>
        <v>#REF!</v>
      </c>
      <c r="S33" s="201" t="e">
        <f>(R33-Q33)/Q33</f>
        <v>#REF!</v>
      </c>
      <c r="T33" s="196">
        <f>+Q33+M33+L33+H33+G33+C33+B33</f>
        <v>3509760</v>
      </c>
      <c r="U33" s="196" t="e">
        <f>+R33+O33+N33+J33+I33+E33+D33</f>
        <v>#REF!</v>
      </c>
      <c r="V33" s="201" t="e">
        <f>(U33-T33)/T33</f>
        <v>#REF!</v>
      </c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</row>
    <row r="34" spans="1:55" ht="13.8" thickBot="1" x14ac:dyDescent="0.3">
      <c r="A34" s="188" t="s">
        <v>39</v>
      </c>
      <c r="B34" s="180">
        <f>SUM(B32:B33)</f>
        <v>2830121</v>
      </c>
      <c r="C34" s="180">
        <f>SUM(C32:C33)</f>
        <v>0</v>
      </c>
      <c r="D34" s="180" t="e">
        <f>SUM(D32:D33)</f>
        <v>#REF!</v>
      </c>
      <c r="E34" s="180" t="e">
        <f>SUM(E32:E33)</f>
        <v>#REF!</v>
      </c>
      <c r="F34" s="186" t="e">
        <f>(SUM(D34,E34)-SUM(C34,B34))/SUM(C34,B34)</f>
        <v>#REF!</v>
      </c>
      <c r="G34" s="180">
        <f>SUM(G32:G33)</f>
        <v>324999</v>
      </c>
      <c r="H34" s="180">
        <f>SUM(H32:H33)</f>
        <v>0</v>
      </c>
      <c r="I34" s="180" t="e">
        <f>SUM(I32:I33)</f>
        <v>#REF!</v>
      </c>
      <c r="J34" s="180" t="e">
        <f>SUM(J32:J33)</f>
        <v>#REF!</v>
      </c>
      <c r="K34" s="202" t="e">
        <f>(SUM(I34,J34)-SUM(H34,G34))/SUM(H34,G34)</f>
        <v>#REF!</v>
      </c>
      <c r="L34" s="180">
        <f>SUM(L32:L33)</f>
        <v>312534</v>
      </c>
      <c r="M34" s="180">
        <f>SUM(M32:M33)</f>
        <v>0</v>
      </c>
      <c r="N34" s="180" t="e">
        <f>SUM(N32:N33)</f>
        <v>#REF!</v>
      </c>
      <c r="O34" s="180" t="e">
        <f>SUM(O32:O33)</f>
        <v>#REF!</v>
      </c>
      <c r="P34" s="202" t="e">
        <f>(SUM(N34,O34)-SUM(M34,L34))/SUM(M34,L34)</f>
        <v>#REF!</v>
      </c>
      <c r="Q34" s="180">
        <f>SUM(Q32:Q33)</f>
        <v>50000</v>
      </c>
      <c r="R34" s="180" t="e">
        <f>SUM(R32:R33)</f>
        <v>#REF!</v>
      </c>
      <c r="S34" s="202" t="e">
        <f>(R34-Q34)/Q34</f>
        <v>#REF!</v>
      </c>
      <c r="T34" s="180">
        <f>SUM(T32:T33)</f>
        <v>3517654</v>
      </c>
      <c r="U34" s="180" t="e">
        <f>SUM(U32:U33)</f>
        <v>#REF!</v>
      </c>
      <c r="V34" s="202" t="e">
        <f>(U34-T34)/T34</f>
        <v>#REF!</v>
      </c>
      <c r="AY34" s="8"/>
      <c r="AZ34" s="8"/>
      <c r="BA34" s="8"/>
      <c r="BB34" s="8"/>
      <c r="BC34" s="8"/>
    </row>
    <row r="35" spans="1:55" s="71" customFormat="1" ht="16.2" thickTop="1" x14ac:dyDescent="0.25">
      <c r="A35" s="191"/>
      <c r="B35" s="192"/>
      <c r="C35" s="192"/>
      <c r="D35" s="192"/>
      <c r="E35" s="192"/>
      <c r="F35" s="194"/>
      <c r="G35" s="192"/>
      <c r="H35" s="192"/>
      <c r="I35" s="192"/>
      <c r="J35" s="192"/>
      <c r="K35" s="194"/>
      <c r="L35" s="192"/>
      <c r="M35" s="192"/>
      <c r="N35" s="192"/>
      <c r="O35" s="192"/>
      <c r="P35" s="194"/>
      <c r="Q35" s="192"/>
      <c r="R35" s="193"/>
      <c r="S35" s="194"/>
      <c r="T35" s="192"/>
      <c r="U35" s="192"/>
      <c r="V35" s="194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</row>
    <row r="36" spans="1:55" x14ac:dyDescent="0.25">
      <c r="A36" s="5" t="s">
        <v>129</v>
      </c>
      <c r="B36" s="8">
        <f>'Revised FY21 Budget Dept '!$N108</f>
        <v>0</v>
      </c>
      <c r="C36" s="8">
        <f>'Revised FY21 Budget Dept '!$O108</f>
        <v>1232875</v>
      </c>
      <c r="D36" s="75" t="e">
        <f>#REF!</f>
        <v>#REF!</v>
      </c>
      <c r="E36" s="75" t="e">
        <f>#REF!</f>
        <v>#REF!</v>
      </c>
      <c r="F36" s="182" t="e">
        <f>(SUM(D36,E36)-SUM(C36,B36))/SUM(C36,B36)</f>
        <v>#REF!</v>
      </c>
      <c r="G36" s="8">
        <f>'Revised FY21 Budget Dept '!$R108</f>
        <v>0</v>
      </c>
      <c r="H36" s="8">
        <f>'Revised FY21 Budget Dept '!$S108</f>
        <v>128344</v>
      </c>
      <c r="I36" s="75" t="e">
        <f>#REF!</f>
        <v>#REF!</v>
      </c>
      <c r="J36" s="75" t="e">
        <f>#REF!</f>
        <v>#REF!</v>
      </c>
      <c r="K36" s="182" t="e">
        <f>(SUM(I36,J36)-SUM(H36,G36))/SUM(H36,G36)</f>
        <v>#REF!</v>
      </c>
      <c r="L36" s="8">
        <f>'Revised FY21 Budget Dept '!$T108</f>
        <v>0</v>
      </c>
      <c r="M36" s="8">
        <f>'Revised FY21 Budget Dept '!$U108</f>
        <v>8068</v>
      </c>
      <c r="N36" s="75" t="e">
        <f>#REF!</f>
        <v>#REF!</v>
      </c>
      <c r="O36" s="75" t="e">
        <f>#REF!</f>
        <v>#REF!</v>
      </c>
      <c r="P36" s="182" t="e">
        <f>(SUM(N36,O36)-SUM(M36,L36))/SUM(M36,L36)</f>
        <v>#REF!</v>
      </c>
      <c r="Q36" s="8">
        <f>'Revised FY21 Budget Dept '!$V108</f>
        <v>0</v>
      </c>
      <c r="R36" s="75" t="e">
        <f>#REF!</f>
        <v>#REF!</v>
      </c>
      <c r="S36" s="182"/>
      <c r="T36" s="8">
        <f>+Q36+M36+L36+H36+G36+C36+B36</f>
        <v>1369287</v>
      </c>
      <c r="U36" s="8" t="e">
        <f t="shared" ref="U36:U44" si="7">+R36+O36+N36+J36+I36+E36+D36</f>
        <v>#REF!</v>
      </c>
      <c r="V36" s="182" t="e">
        <f t="shared" ref="V36:V42" si="8">(U36-T36)/T36</f>
        <v>#REF!</v>
      </c>
      <c r="AY36" s="8"/>
      <c r="AZ36" s="8"/>
      <c r="BA36" s="8"/>
      <c r="BB36" s="8"/>
      <c r="BC36" s="8"/>
    </row>
    <row r="37" spans="1:55" x14ac:dyDescent="0.25">
      <c r="A37" s="5" t="s">
        <v>181</v>
      </c>
      <c r="B37" s="8">
        <f>'Revised FY21 Budget Dept '!$N109</f>
        <v>0</v>
      </c>
      <c r="C37" s="8">
        <f>'Revised FY21 Budget Dept '!$O109</f>
        <v>7383</v>
      </c>
      <c r="D37" s="75" t="e">
        <f>#REF!</f>
        <v>#REF!</v>
      </c>
      <c r="E37" s="75" t="e">
        <f>#REF!</f>
        <v>#REF!</v>
      </c>
      <c r="F37" s="182" t="e">
        <f t="shared" ref="F37:F45" si="9">(SUM(D37,E37)-SUM(C37,B37))/SUM(C37,B37)</f>
        <v>#REF!</v>
      </c>
      <c r="G37" s="8">
        <f>'Revised FY21 Budget Dept '!$R109</f>
        <v>0</v>
      </c>
      <c r="H37" s="8">
        <f>'Revised FY21 Budget Dept '!$S109</f>
        <v>1180</v>
      </c>
      <c r="I37" s="75" t="e">
        <f>#REF!</f>
        <v>#REF!</v>
      </c>
      <c r="J37" s="75" t="e">
        <f>#REF!</f>
        <v>#REF!</v>
      </c>
      <c r="K37" s="182" t="e">
        <f t="shared" ref="K37:K45" si="10">(SUM(I37,J37)-SUM(H37,G37))/SUM(H37,G37)</f>
        <v>#REF!</v>
      </c>
      <c r="L37" s="8">
        <f>'Revised FY21 Budget Dept '!$T109</f>
        <v>0</v>
      </c>
      <c r="M37" s="8">
        <f>'Revised FY21 Budget Dept '!$U109</f>
        <v>450</v>
      </c>
      <c r="N37" s="75" t="e">
        <f>#REF!</f>
        <v>#REF!</v>
      </c>
      <c r="O37" s="75" t="e">
        <f>#REF!</f>
        <v>#REF!</v>
      </c>
      <c r="P37" s="182" t="e">
        <f t="shared" ref="P37:P45" si="11">(SUM(N37,O37)-SUM(M37,L37))/SUM(M37,L37)</f>
        <v>#REF!</v>
      </c>
      <c r="Q37" s="8">
        <f>'Revised FY21 Budget Dept '!$V109</f>
        <v>0</v>
      </c>
      <c r="R37" s="75" t="e">
        <f>#REF!</f>
        <v>#REF!</v>
      </c>
      <c r="S37" s="182"/>
      <c r="T37" s="8">
        <f t="shared" ref="T37:T44" si="12">+Q37+M37+L37+H37+G37+C37+B37</f>
        <v>9013</v>
      </c>
      <c r="U37" s="8" t="e">
        <f t="shared" si="7"/>
        <v>#REF!</v>
      </c>
      <c r="V37" s="182" t="e">
        <f t="shared" si="8"/>
        <v>#REF!</v>
      </c>
      <c r="AY37" s="8"/>
      <c r="AZ37" s="8"/>
      <c r="BA37" s="8"/>
      <c r="BB37" s="8"/>
      <c r="BC37" s="8"/>
    </row>
    <row r="38" spans="1:55" x14ac:dyDescent="0.25">
      <c r="A38" s="5" t="s">
        <v>182</v>
      </c>
      <c r="B38" s="8">
        <f>'Revised FY21 Budget Dept '!$N110</f>
        <v>267308</v>
      </c>
      <c r="C38" s="8">
        <f>'Revised FY21 Budget Dept '!$O110</f>
        <v>0</v>
      </c>
      <c r="D38" s="75" t="e">
        <f>#REF!</f>
        <v>#REF!</v>
      </c>
      <c r="E38" s="75" t="e">
        <f>#REF!</f>
        <v>#REF!</v>
      </c>
      <c r="F38" s="182" t="e">
        <f t="shared" si="9"/>
        <v>#REF!</v>
      </c>
      <c r="G38" s="8">
        <f>'Revised FY21 Budget Dept '!$R110</f>
        <v>33084</v>
      </c>
      <c r="H38" s="8">
        <f>'Revised FY21 Budget Dept '!$S110</f>
        <v>0</v>
      </c>
      <c r="I38" s="75" t="e">
        <f>#REF!</f>
        <v>#REF!</v>
      </c>
      <c r="J38" s="75" t="e">
        <f>#REF!</f>
        <v>#REF!</v>
      </c>
      <c r="K38" s="182" t="e">
        <f t="shared" si="10"/>
        <v>#REF!</v>
      </c>
      <c r="L38" s="8">
        <f>'Revised FY21 Budget Dept '!$T110</f>
        <v>1778</v>
      </c>
      <c r="M38" s="8">
        <f>'Revised FY21 Budget Dept '!$U110</f>
        <v>0</v>
      </c>
      <c r="N38" s="75" t="e">
        <f>#REF!</f>
        <v>#REF!</v>
      </c>
      <c r="O38" s="75" t="e">
        <f>#REF!</f>
        <v>#REF!</v>
      </c>
      <c r="P38" s="182" t="e">
        <f t="shared" si="11"/>
        <v>#REF!</v>
      </c>
      <c r="Q38" s="8">
        <f>'Revised FY21 Budget Dept '!$V110</f>
        <v>0</v>
      </c>
      <c r="R38" s="75" t="e">
        <f>#REF!</f>
        <v>#REF!</v>
      </c>
      <c r="S38" s="182"/>
      <c r="T38" s="8">
        <f t="shared" si="12"/>
        <v>302170</v>
      </c>
      <c r="U38" s="8" t="e">
        <f t="shared" si="7"/>
        <v>#REF!</v>
      </c>
      <c r="V38" s="182" t="e">
        <f t="shared" si="8"/>
        <v>#REF!</v>
      </c>
      <c r="AY38" s="8"/>
      <c r="AZ38" s="8"/>
      <c r="BA38" s="8"/>
      <c r="BB38" s="8"/>
      <c r="BC38" s="8"/>
    </row>
    <row r="39" spans="1:55" x14ac:dyDescent="0.25">
      <c r="A39" s="5" t="s">
        <v>130</v>
      </c>
      <c r="B39" s="8">
        <f>'Revised FY21 Budget Dept '!$N111</f>
        <v>0</v>
      </c>
      <c r="C39" s="8">
        <f>'Revised FY21 Budget Dept '!$O111</f>
        <v>0</v>
      </c>
      <c r="D39" s="75" t="e">
        <f>#REF!</f>
        <v>#REF!</v>
      </c>
      <c r="E39" s="75" t="e">
        <f>#REF!</f>
        <v>#REF!</v>
      </c>
      <c r="F39" s="182"/>
      <c r="G39" s="8">
        <f>'Revised FY21 Budget Dept '!$R111</f>
        <v>9794</v>
      </c>
      <c r="H39" s="8">
        <f>'Revised FY21 Budget Dept '!$S111</f>
        <v>0</v>
      </c>
      <c r="I39" s="75" t="e">
        <f>#REF!</f>
        <v>#REF!</v>
      </c>
      <c r="J39" s="75" t="e">
        <f>#REF!</f>
        <v>#REF!</v>
      </c>
      <c r="K39" s="182" t="e">
        <f t="shared" si="10"/>
        <v>#REF!</v>
      </c>
      <c r="L39" s="8">
        <f>'Revised FY21 Budget Dept '!$T111</f>
        <v>3214</v>
      </c>
      <c r="M39" s="8">
        <f>'Revised FY21 Budget Dept '!$U111</f>
        <v>0</v>
      </c>
      <c r="N39" s="75" t="e">
        <f>#REF!</f>
        <v>#REF!</v>
      </c>
      <c r="O39" s="75" t="e">
        <f>#REF!</f>
        <v>#REF!</v>
      </c>
      <c r="P39" s="182" t="e">
        <f t="shared" si="11"/>
        <v>#REF!</v>
      </c>
      <c r="Q39" s="8">
        <f>'Revised FY21 Budget Dept '!$V111</f>
        <v>0</v>
      </c>
      <c r="R39" s="75" t="e">
        <f>#REF!</f>
        <v>#REF!</v>
      </c>
      <c r="S39" s="182"/>
      <c r="T39" s="8">
        <f t="shared" si="12"/>
        <v>13008</v>
      </c>
      <c r="U39" s="8" t="e">
        <f t="shared" si="7"/>
        <v>#REF!</v>
      </c>
      <c r="V39" s="182" t="e">
        <f t="shared" si="8"/>
        <v>#REF!</v>
      </c>
      <c r="AY39" s="8"/>
      <c r="AZ39" s="8"/>
      <c r="BA39" s="8"/>
      <c r="BB39" s="8"/>
      <c r="BC39" s="8"/>
    </row>
    <row r="40" spans="1:55" x14ac:dyDescent="0.25">
      <c r="A40" s="5" t="s">
        <v>131</v>
      </c>
      <c r="B40" s="8">
        <f>'Revised FY21 Budget Dept '!$N112</f>
        <v>85224</v>
      </c>
      <c r="C40" s="8">
        <f>'Revised FY21 Budget Dept '!$O112</f>
        <v>32256</v>
      </c>
      <c r="D40" s="75" t="e">
        <f>#REF!</f>
        <v>#REF!</v>
      </c>
      <c r="E40" s="75" t="e">
        <f>#REF!</f>
        <v>#REF!</v>
      </c>
      <c r="F40" s="182" t="e">
        <f t="shared" si="9"/>
        <v>#REF!</v>
      </c>
      <c r="G40" s="8">
        <f>'Revised FY21 Budget Dept '!$R112</f>
        <v>20148</v>
      </c>
      <c r="H40" s="8">
        <f>'Revised FY21 Budget Dept '!$S112</f>
        <v>3936</v>
      </c>
      <c r="I40" s="75" t="e">
        <f>#REF!</f>
        <v>#REF!</v>
      </c>
      <c r="J40" s="75" t="e">
        <f>#REF!</f>
        <v>#REF!</v>
      </c>
      <c r="K40" s="182" t="e">
        <f t="shared" si="10"/>
        <v>#REF!</v>
      </c>
      <c r="L40" s="8">
        <f>'Revised FY21 Budget Dept '!$T112</f>
        <v>6563</v>
      </c>
      <c r="M40" s="8">
        <f>'Revised FY21 Budget Dept '!$U112</f>
        <v>1386</v>
      </c>
      <c r="N40" s="75" t="e">
        <f>#REF!</f>
        <v>#REF!</v>
      </c>
      <c r="O40" s="75" t="e">
        <f>#REF!</f>
        <v>#REF!</v>
      </c>
      <c r="P40" s="182" t="e">
        <f t="shared" si="11"/>
        <v>#REF!</v>
      </c>
      <c r="Q40" s="8">
        <f>'Revised FY21 Budget Dept '!$V112</f>
        <v>0</v>
      </c>
      <c r="R40" s="75" t="e">
        <f>#REF!</f>
        <v>#REF!</v>
      </c>
      <c r="S40" s="182"/>
      <c r="T40" s="8">
        <f t="shared" si="12"/>
        <v>149513</v>
      </c>
      <c r="U40" s="8" t="e">
        <f t="shared" si="7"/>
        <v>#REF!</v>
      </c>
      <c r="V40" s="182" t="e">
        <f t="shared" si="8"/>
        <v>#REF!</v>
      </c>
      <c r="AY40" s="8"/>
      <c r="AZ40" s="8"/>
      <c r="BA40" s="8"/>
      <c r="BB40" s="8"/>
      <c r="BC40" s="8"/>
    </row>
    <row r="41" spans="1:55" x14ac:dyDescent="0.25">
      <c r="A41" s="5" t="s">
        <v>90</v>
      </c>
      <c r="B41" s="8">
        <f>'Revised FY21 Budget Dept '!$N113</f>
        <v>72000</v>
      </c>
      <c r="C41" s="8">
        <f>'Revised FY21 Budget Dept '!$O113</f>
        <v>0</v>
      </c>
      <c r="D41" s="75" t="e">
        <f>#REF!</f>
        <v>#REF!</v>
      </c>
      <c r="E41" s="75" t="e">
        <f>#REF!</f>
        <v>#REF!</v>
      </c>
      <c r="F41" s="182" t="e">
        <f t="shared" si="9"/>
        <v>#REF!</v>
      </c>
      <c r="G41" s="8">
        <f>'Revised FY21 Budget Dept '!$R113</f>
        <v>105448</v>
      </c>
      <c r="H41" s="8">
        <f>'Revised FY21 Budget Dept '!$S113</f>
        <v>0</v>
      </c>
      <c r="I41" s="75" t="e">
        <f>#REF!</f>
        <v>#REF!</v>
      </c>
      <c r="J41" s="75" t="e">
        <f>#REF!</f>
        <v>#REF!</v>
      </c>
      <c r="K41" s="182" t="e">
        <f t="shared" si="10"/>
        <v>#REF!</v>
      </c>
      <c r="L41" s="8">
        <f>'Revised FY21 Budget Dept '!$T113</f>
        <v>196886</v>
      </c>
      <c r="M41" s="8">
        <f>'Revised FY21 Budget Dept '!$U113</f>
        <v>0</v>
      </c>
      <c r="N41" s="75" t="e">
        <f>#REF!</f>
        <v>#REF!</v>
      </c>
      <c r="O41" s="75" t="e">
        <f>#REF!</f>
        <v>#REF!</v>
      </c>
      <c r="P41" s="182" t="e">
        <f t="shared" si="11"/>
        <v>#REF!</v>
      </c>
      <c r="Q41" s="8">
        <f>'Revised FY21 Budget Dept '!$V113</f>
        <v>348980</v>
      </c>
      <c r="R41" s="75" t="e">
        <f>#REF!</f>
        <v>#REF!</v>
      </c>
      <c r="S41" s="182" t="e">
        <f>(R41-Q41)/Q41</f>
        <v>#REF!</v>
      </c>
      <c r="T41" s="8">
        <f t="shared" si="12"/>
        <v>723314</v>
      </c>
      <c r="U41" s="8" t="e">
        <f t="shared" si="7"/>
        <v>#REF!</v>
      </c>
      <c r="V41" s="182" t="e">
        <f t="shared" si="8"/>
        <v>#REF!</v>
      </c>
      <c r="AY41" s="8"/>
      <c r="AZ41" s="8"/>
      <c r="BA41" s="8"/>
      <c r="BB41" s="8"/>
      <c r="BC41" s="8"/>
    </row>
    <row r="42" spans="1:55" x14ac:dyDescent="0.25">
      <c r="A42" s="5" t="s">
        <v>132</v>
      </c>
      <c r="B42" s="8">
        <f>'Revised FY21 Budget Dept '!$N114</f>
        <v>0</v>
      </c>
      <c r="C42" s="8">
        <f>'Revised FY21 Budget Dept '!$O114</f>
        <v>0</v>
      </c>
      <c r="D42" s="75" t="e">
        <f>#REF!</f>
        <v>#REF!</v>
      </c>
      <c r="E42" s="75" t="e">
        <f>#REF!</f>
        <v>#REF!</v>
      </c>
      <c r="F42" s="182"/>
      <c r="G42" s="8">
        <f>'Revised FY21 Budget Dept '!$R114</f>
        <v>6000</v>
      </c>
      <c r="H42" s="8">
        <f>'Revised FY21 Budget Dept '!$S114</f>
        <v>0</v>
      </c>
      <c r="I42" s="75" t="e">
        <f>#REF!</f>
        <v>#REF!</v>
      </c>
      <c r="J42" s="75" t="e">
        <f>#REF!</f>
        <v>#REF!</v>
      </c>
      <c r="K42" s="182" t="e">
        <f t="shared" si="10"/>
        <v>#REF!</v>
      </c>
      <c r="L42" s="8">
        <f>'Revised FY21 Budget Dept '!$T114</f>
        <v>1800</v>
      </c>
      <c r="M42" s="8">
        <f>'Revised FY21 Budget Dept '!$U114</f>
        <v>0</v>
      </c>
      <c r="N42" s="75" t="e">
        <f>#REF!</f>
        <v>#REF!</v>
      </c>
      <c r="O42" s="75" t="e">
        <f>#REF!</f>
        <v>#REF!</v>
      </c>
      <c r="P42" s="182" t="e">
        <f t="shared" si="11"/>
        <v>#REF!</v>
      </c>
      <c r="Q42" s="8">
        <f>'Revised FY21 Budget Dept '!$V114</f>
        <v>0</v>
      </c>
      <c r="R42" s="75" t="e">
        <f>#REF!</f>
        <v>#REF!</v>
      </c>
      <c r="S42" s="182"/>
      <c r="T42" s="8">
        <f t="shared" si="12"/>
        <v>7800</v>
      </c>
      <c r="U42" s="8" t="e">
        <f t="shared" si="7"/>
        <v>#REF!</v>
      </c>
      <c r="V42" s="182" t="e">
        <f t="shared" si="8"/>
        <v>#REF!</v>
      </c>
      <c r="AY42" s="8"/>
      <c r="AZ42" s="8"/>
      <c r="BA42" s="8"/>
      <c r="BB42" s="8"/>
      <c r="BC42" s="8"/>
    </row>
    <row r="43" spans="1:55" x14ac:dyDescent="0.25">
      <c r="A43" s="5" t="s">
        <v>133</v>
      </c>
      <c r="B43" s="8">
        <f>'Revised FY21 Budget Dept '!$N115</f>
        <v>0</v>
      </c>
      <c r="C43" s="8">
        <f>'Revised FY21 Budget Dept '!$O115</f>
        <v>0</v>
      </c>
      <c r="D43" s="75" t="e">
        <f>#REF!</f>
        <v>#REF!</v>
      </c>
      <c r="E43" s="75" t="e">
        <f>#REF!</f>
        <v>#REF!</v>
      </c>
      <c r="F43" s="182"/>
      <c r="G43" s="8">
        <f>'Revised FY21 Budget Dept '!$R115</f>
        <v>0</v>
      </c>
      <c r="H43" s="8">
        <f>'Revised FY21 Budget Dept '!$S115</f>
        <v>0</v>
      </c>
      <c r="I43" s="75" t="e">
        <f>#REF!</f>
        <v>#REF!</v>
      </c>
      <c r="J43" s="75" t="e">
        <f>#REF!</f>
        <v>#REF!</v>
      </c>
      <c r="K43" s="182"/>
      <c r="L43" s="8">
        <f>'Revised FY21 Budget Dept '!$T115</f>
        <v>0</v>
      </c>
      <c r="M43" s="8">
        <f>'Revised FY21 Budget Dept '!$U115</f>
        <v>0</v>
      </c>
      <c r="N43" s="75" t="e">
        <f>#REF!</f>
        <v>#REF!</v>
      </c>
      <c r="O43" s="75" t="e">
        <f>#REF!</f>
        <v>#REF!</v>
      </c>
      <c r="P43" s="182"/>
      <c r="Q43" s="8">
        <f>'Revised FY21 Budget Dept '!$V115</f>
        <v>0</v>
      </c>
      <c r="R43" s="75" t="e">
        <f>#REF!</f>
        <v>#REF!</v>
      </c>
      <c r="S43" s="182"/>
      <c r="T43" s="8">
        <f t="shared" si="12"/>
        <v>0</v>
      </c>
      <c r="U43" s="8" t="e">
        <f t="shared" si="7"/>
        <v>#REF!</v>
      </c>
      <c r="V43" s="182"/>
      <c r="AY43" s="8"/>
      <c r="AZ43" s="8"/>
      <c r="BA43" s="8"/>
      <c r="BB43" s="8"/>
      <c r="BC43" s="8"/>
    </row>
    <row r="44" spans="1:55" x14ac:dyDescent="0.25">
      <c r="A44" s="5" t="s">
        <v>134</v>
      </c>
      <c r="B44" s="8">
        <f>'Revised FY21 Budget Dept '!$N116</f>
        <v>0</v>
      </c>
      <c r="C44" s="8">
        <f>'Revised FY21 Budget Dept '!$O116</f>
        <v>0</v>
      </c>
      <c r="D44" s="75" t="e">
        <f>#REF!</f>
        <v>#REF!</v>
      </c>
      <c r="E44" s="75" t="e">
        <f>#REF!</f>
        <v>#REF!</v>
      </c>
      <c r="F44" s="182"/>
      <c r="G44" s="8">
        <f>'Revised FY21 Budget Dept '!$R116</f>
        <v>0</v>
      </c>
      <c r="H44" s="8">
        <f>'Revised FY21 Budget Dept '!$S116</f>
        <v>0</v>
      </c>
      <c r="I44" s="75" t="e">
        <f>#REF!</f>
        <v>#REF!</v>
      </c>
      <c r="J44" s="75" t="e">
        <f>#REF!</f>
        <v>#REF!</v>
      </c>
      <c r="K44" s="182"/>
      <c r="L44" s="8">
        <f>'Revised FY21 Budget Dept '!$T116</f>
        <v>0</v>
      </c>
      <c r="M44" s="8">
        <f>'Revised FY21 Budget Dept '!$U116</f>
        <v>0</v>
      </c>
      <c r="N44" s="75" t="e">
        <f>#REF!</f>
        <v>#REF!</v>
      </c>
      <c r="O44" s="75" t="e">
        <f>#REF!</f>
        <v>#REF!</v>
      </c>
      <c r="P44" s="182"/>
      <c r="Q44" s="8">
        <f>'Revised FY21 Budget Dept '!$V116</f>
        <v>0</v>
      </c>
      <c r="R44" s="75" t="e">
        <f>#REF!</f>
        <v>#REF!</v>
      </c>
      <c r="S44" s="182"/>
      <c r="T44" s="8">
        <f t="shared" si="12"/>
        <v>0</v>
      </c>
      <c r="U44" s="8" t="e">
        <f t="shared" si="7"/>
        <v>#REF!</v>
      </c>
      <c r="V44" s="182"/>
      <c r="AY44" s="8"/>
      <c r="AZ44" s="8"/>
      <c r="BA44" s="8"/>
      <c r="BB44" s="8"/>
      <c r="BC44" s="8"/>
    </row>
    <row r="45" spans="1:55" ht="13.8" thickBot="1" x14ac:dyDescent="0.3">
      <c r="A45" s="188" t="s">
        <v>259</v>
      </c>
      <c r="B45" s="180">
        <f>SUM(B36:B44)</f>
        <v>424532</v>
      </c>
      <c r="C45" s="180">
        <f>SUM(C36:C44)</f>
        <v>1272514</v>
      </c>
      <c r="D45" s="181" t="e">
        <f>SUM(D36:D44)</f>
        <v>#REF!</v>
      </c>
      <c r="E45" s="181" t="e">
        <f>SUM(E36:E44)</f>
        <v>#REF!</v>
      </c>
      <c r="F45" s="186" t="e">
        <f t="shared" si="9"/>
        <v>#REF!</v>
      </c>
      <c r="G45" s="180">
        <f>SUM(G36:G44)</f>
        <v>174474</v>
      </c>
      <c r="H45" s="180">
        <f>SUM(H36:H44)</f>
        <v>133460</v>
      </c>
      <c r="I45" s="181" t="e">
        <f>SUM(I36:I44)</f>
        <v>#REF!</v>
      </c>
      <c r="J45" s="181" t="e">
        <f>SUM(J36:J44)</f>
        <v>#REF!</v>
      </c>
      <c r="K45" s="186" t="e">
        <f t="shared" si="10"/>
        <v>#REF!</v>
      </c>
      <c r="L45" s="180">
        <f>SUM(L36:L44)</f>
        <v>210241</v>
      </c>
      <c r="M45" s="180">
        <f>SUM(M36:M44)</f>
        <v>9904</v>
      </c>
      <c r="N45" s="181" t="e">
        <f>SUM(N36:N44)</f>
        <v>#REF!</v>
      </c>
      <c r="O45" s="181" t="e">
        <f>SUM(O36:O44)</f>
        <v>#REF!</v>
      </c>
      <c r="P45" s="186" t="e">
        <f t="shared" si="11"/>
        <v>#REF!</v>
      </c>
      <c r="Q45" s="180">
        <f>SUM(Q36:Q44)</f>
        <v>348980</v>
      </c>
      <c r="R45" s="181" t="e">
        <f>SUM(R36:R44)</f>
        <v>#REF!</v>
      </c>
      <c r="S45" s="186" t="e">
        <f>(R45-Q45)/Q45</f>
        <v>#REF!</v>
      </c>
      <c r="T45" s="180">
        <f>SUM(T36:T44)</f>
        <v>2574105</v>
      </c>
      <c r="U45" s="180" t="e">
        <f>SUM(U36:U44)</f>
        <v>#REF!</v>
      </c>
      <c r="V45" s="186" t="e">
        <f>(U45-T45)/T45</f>
        <v>#REF!</v>
      </c>
      <c r="AY45" s="8"/>
      <c r="AZ45" s="8"/>
      <c r="BA45" s="8"/>
      <c r="BB45" s="8"/>
      <c r="BC45" s="8"/>
    </row>
    <row r="46" spans="1:55" ht="13.8" thickTop="1" x14ac:dyDescent="0.25"/>
    <row r="50" spans="1:74" ht="79.2" x14ac:dyDescent="0.25">
      <c r="A50" s="187" t="s">
        <v>253</v>
      </c>
      <c r="B50" s="183" t="s">
        <v>185</v>
      </c>
      <c r="C50" s="183" t="s">
        <v>186</v>
      </c>
      <c r="D50" s="184" t="s">
        <v>221</v>
      </c>
      <c r="E50" s="184" t="s">
        <v>222</v>
      </c>
      <c r="F50" s="185" t="s">
        <v>248</v>
      </c>
      <c r="G50" s="183" t="s">
        <v>17</v>
      </c>
      <c r="H50" s="184" t="s">
        <v>223</v>
      </c>
      <c r="I50" s="185" t="s">
        <v>248</v>
      </c>
      <c r="J50" s="183" t="s">
        <v>18</v>
      </c>
      <c r="K50" s="183" t="s">
        <v>19</v>
      </c>
      <c r="L50" s="184" t="s">
        <v>224</v>
      </c>
      <c r="M50" s="184" t="s">
        <v>225</v>
      </c>
      <c r="N50" s="185" t="s">
        <v>248</v>
      </c>
      <c r="O50" s="183" t="s">
        <v>20</v>
      </c>
      <c r="P50" s="183" t="s">
        <v>21</v>
      </c>
      <c r="Q50" s="184" t="s">
        <v>226</v>
      </c>
      <c r="R50" s="184" t="s">
        <v>227</v>
      </c>
      <c r="S50" s="185" t="s">
        <v>248</v>
      </c>
      <c r="T50" s="183" t="s">
        <v>22</v>
      </c>
      <c r="U50" s="183" t="s">
        <v>23</v>
      </c>
      <c r="V50" s="184" t="s">
        <v>229</v>
      </c>
      <c r="W50" s="184" t="s">
        <v>230</v>
      </c>
      <c r="X50" s="185" t="s">
        <v>248</v>
      </c>
      <c r="Y50" s="183" t="s">
        <v>24</v>
      </c>
      <c r="Z50" s="183" t="s">
        <v>25</v>
      </c>
      <c r="AA50" s="184" t="s">
        <v>231</v>
      </c>
      <c r="AB50" s="184" t="s">
        <v>232</v>
      </c>
      <c r="AC50" s="185" t="s">
        <v>248</v>
      </c>
      <c r="AD50" s="183" t="s">
        <v>26</v>
      </c>
      <c r="AE50" s="183" t="s">
        <v>27</v>
      </c>
      <c r="AF50" s="184" t="s">
        <v>233</v>
      </c>
      <c r="AG50" s="184" t="s">
        <v>234</v>
      </c>
      <c r="AH50" s="185" t="s">
        <v>248</v>
      </c>
      <c r="AI50" s="183" t="s">
        <v>28</v>
      </c>
      <c r="AJ50" s="183" t="s">
        <v>29</v>
      </c>
      <c r="AK50" s="184" t="s">
        <v>235</v>
      </c>
      <c r="AL50" s="184" t="s">
        <v>236</v>
      </c>
      <c r="AM50" s="185" t="s">
        <v>248</v>
      </c>
      <c r="AN50" s="183" t="s">
        <v>30</v>
      </c>
      <c r="AO50" s="183" t="s">
        <v>31</v>
      </c>
      <c r="AP50" s="184" t="s">
        <v>237</v>
      </c>
      <c r="AQ50" s="184" t="s">
        <v>238</v>
      </c>
      <c r="AR50" s="185" t="s">
        <v>248</v>
      </c>
      <c r="AS50" s="183" t="s">
        <v>32</v>
      </c>
      <c r="AT50" s="183" t="s">
        <v>33</v>
      </c>
      <c r="AU50" s="184" t="s">
        <v>239</v>
      </c>
      <c r="AV50" s="184" t="s">
        <v>240</v>
      </c>
      <c r="AW50" s="185" t="s">
        <v>248</v>
      </c>
      <c r="AX50" s="183" t="s">
        <v>34</v>
      </c>
      <c r="AY50" s="183" t="s">
        <v>35</v>
      </c>
      <c r="AZ50" s="184" t="s">
        <v>241</v>
      </c>
      <c r="BA50" s="184" t="s">
        <v>242</v>
      </c>
      <c r="BB50" s="185" t="s">
        <v>248</v>
      </c>
      <c r="BC50" s="183" t="s">
        <v>254</v>
      </c>
      <c r="BD50" s="183" t="s">
        <v>255</v>
      </c>
      <c r="BE50" s="185" t="s">
        <v>248</v>
      </c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</row>
    <row r="51" spans="1:74" s="200" customFormat="1" x14ac:dyDescent="0.25">
      <c r="A51" s="195" t="s">
        <v>37</v>
      </c>
      <c r="B51" s="196">
        <f>'Revised FY21 Budget Dept '!$X2</f>
        <v>0</v>
      </c>
      <c r="C51" s="196">
        <f>'Revised FY21 Budget Dept '!$Y2</f>
        <v>0</v>
      </c>
      <c r="D51" s="196" t="e">
        <f>#REF!</f>
        <v>#REF!</v>
      </c>
      <c r="E51" s="196" t="e">
        <f>#REF!</f>
        <v>#REF!</v>
      </c>
      <c r="F51" s="197"/>
      <c r="G51" s="196">
        <f>'Revised FY21 Budget Dept '!$Z2</f>
        <v>0</v>
      </c>
      <c r="H51" s="196" t="e">
        <f>#REF!</f>
        <v>#REF!</v>
      </c>
      <c r="I51" s="197"/>
      <c r="J51" s="196">
        <f>'Revised FY21 Budget Dept '!$AB2</f>
        <v>204708</v>
      </c>
      <c r="K51" s="196">
        <f>'Revised FY21 Budget Dept '!$AC2</f>
        <v>0</v>
      </c>
      <c r="L51" s="196" t="e">
        <f>#REF!</f>
        <v>#REF!</v>
      </c>
      <c r="M51" s="196" t="e">
        <f>#REF!</f>
        <v>#REF!</v>
      </c>
      <c r="N51" s="201" t="e">
        <f>(SUM(L51,M51)-SUM(K51,J51))/SUM(K51,J51)</f>
        <v>#REF!</v>
      </c>
      <c r="O51" s="196">
        <f>'Revised FY21 Budget Dept '!$AF2</f>
        <v>68124</v>
      </c>
      <c r="P51" s="196">
        <f>'Revised FY21 Budget Dept '!$AG2</f>
        <v>0</v>
      </c>
      <c r="Q51" s="196" t="e">
        <f>#REF!</f>
        <v>#REF!</v>
      </c>
      <c r="R51" s="196" t="e">
        <f>#REF!</f>
        <v>#REF!</v>
      </c>
      <c r="S51" s="201" t="e">
        <f>(SUM(Q51,R51)-SUM(P51,O51))/SUM(P51,O51)</f>
        <v>#REF!</v>
      </c>
      <c r="T51" s="196">
        <f>'Revised FY21 Budget Dept '!$AJ2</f>
        <v>29814</v>
      </c>
      <c r="U51" s="196">
        <f>'Revised FY21 Budget Dept '!$AK2</f>
        <v>0</v>
      </c>
      <c r="V51" s="196" t="e">
        <f>#REF!</f>
        <v>#REF!</v>
      </c>
      <c r="W51" s="196" t="e">
        <f>#REF!</f>
        <v>#REF!</v>
      </c>
      <c r="X51" s="201" t="e">
        <f>(SUM(V51,W51)-SUM(U51,T51))/SUM(U51,T51)</f>
        <v>#REF!</v>
      </c>
      <c r="Y51" s="196">
        <f>'Revised FY21 Budget Dept '!$AL2</f>
        <v>1398</v>
      </c>
      <c r="Z51" s="196">
        <f>'Revised FY21 Budget Dept '!$AM2</f>
        <v>0</v>
      </c>
      <c r="AA51" s="196" t="e">
        <f>#REF!</f>
        <v>#REF!</v>
      </c>
      <c r="AB51" s="196" t="e">
        <f>#REF!</f>
        <v>#REF!</v>
      </c>
      <c r="AC51" s="201" t="e">
        <f>(SUM(AA51,AB51)-SUM(Z51,Y51))/SUM(Z51,Y51)</f>
        <v>#REF!</v>
      </c>
      <c r="AD51" s="196">
        <f>'Revised FY21 Budget Dept '!$AN2</f>
        <v>17210</v>
      </c>
      <c r="AE51" s="196">
        <f>'Revised FY21 Budget Dept '!$AO2</f>
        <v>0</v>
      </c>
      <c r="AF51" s="196" t="e">
        <f>#REF!</f>
        <v>#REF!</v>
      </c>
      <c r="AG51" s="196" t="e">
        <f>#REF!</f>
        <v>#REF!</v>
      </c>
      <c r="AH51" s="201" t="e">
        <f>(SUM(AF51,AG51)-SUM(AE51,AD51))/SUM(AE51,AD51)</f>
        <v>#REF!</v>
      </c>
      <c r="AI51" s="196">
        <f>'Revised FY21 Budget Dept '!$AP2</f>
        <v>2564</v>
      </c>
      <c r="AJ51" s="196">
        <f>'Revised FY21 Budget Dept '!$AQ2</f>
        <v>0</v>
      </c>
      <c r="AK51" s="196" t="e">
        <f>#REF!</f>
        <v>#REF!</v>
      </c>
      <c r="AL51" s="196" t="e">
        <f>#REF!</f>
        <v>#REF!</v>
      </c>
      <c r="AM51" s="201" t="e">
        <f>(SUM(AK51,AL51)-SUM(AJ51,AI51))/SUM(AJ51,AI51)</f>
        <v>#REF!</v>
      </c>
      <c r="AN51" s="196">
        <f>'Revised FY21 Budget Dept '!$AR2</f>
        <v>0</v>
      </c>
      <c r="AO51" s="196">
        <f>'Revised FY21 Budget Dept '!$AS2</f>
        <v>0</v>
      </c>
      <c r="AP51" s="196" t="e">
        <f>#REF!</f>
        <v>#REF!</v>
      </c>
      <c r="AQ51" s="196" t="e">
        <f>#REF!</f>
        <v>#REF!</v>
      </c>
      <c r="AR51" s="197"/>
      <c r="AS51" s="196">
        <f>'Revised FY21 Budget Dept '!$AT2</f>
        <v>0</v>
      </c>
      <c r="AT51" s="196">
        <f>'Revised FY21 Budget Dept '!$AU2</f>
        <v>0</v>
      </c>
      <c r="AU51" s="196" t="e">
        <f>#REF!</f>
        <v>#REF!</v>
      </c>
      <c r="AV51" s="196" t="e">
        <f>#REF!</f>
        <v>#REF!</v>
      </c>
      <c r="AW51" s="197"/>
      <c r="AX51" s="196">
        <f>'Revised FY21 Budget Dept '!$AV2</f>
        <v>0</v>
      </c>
      <c r="AY51" s="196">
        <f>'Revised FY21 Budget Dept '!$AW2</f>
        <v>0</v>
      </c>
      <c r="AZ51" s="196" t="e">
        <f>#REF!</f>
        <v>#REF!</v>
      </c>
      <c r="BA51" s="196" t="e">
        <f>#REF!</f>
        <v>#REF!</v>
      </c>
      <c r="BB51" s="197"/>
      <c r="BC51" s="8">
        <f>+B51+C51+G51+J51+K51+O51+P51+T51+U51+Y51+Z51+AD51+AE51+AI51+AJ51+AN51+AO51+AS51+AT51+AX51+AY51</f>
        <v>323818</v>
      </c>
      <c r="BD51" s="206" t="e">
        <f>+D51+E51+H51+L51+M51+Q51+R51+V51+W51+AA51+AB51+AF51+AG51+AK51+AL51+AP51+AQ51+AU51+AV51+AZ51+BA51</f>
        <v>#REF!</v>
      </c>
      <c r="BE51" s="204" t="e">
        <f>(BD51-BC51)/BC51</f>
        <v>#REF!</v>
      </c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</row>
    <row r="52" spans="1:74" s="200" customFormat="1" x14ac:dyDescent="0.25">
      <c r="A52" s="195" t="s">
        <v>38</v>
      </c>
      <c r="B52" s="196">
        <f>'Revised FY21 Budget Dept '!$X3</f>
        <v>0</v>
      </c>
      <c r="C52" s="196">
        <f>'Revised FY21 Budget Dept '!$Y3</f>
        <v>0</v>
      </c>
      <c r="D52" s="196" t="e">
        <f>#REF!</f>
        <v>#REF!</v>
      </c>
      <c r="E52" s="196" t="e">
        <f>#REF!</f>
        <v>#REF!</v>
      </c>
      <c r="F52" s="197"/>
      <c r="G52" s="196">
        <f>'Revised FY21 Budget Dept '!$Z3</f>
        <v>0</v>
      </c>
      <c r="H52" s="196" t="e">
        <f>#REF!</f>
        <v>#REF!</v>
      </c>
      <c r="I52" s="197"/>
      <c r="J52" s="196">
        <f>'Revised FY21 Budget Dept '!$AB3</f>
        <v>28218</v>
      </c>
      <c r="K52" s="196">
        <f>'Revised FY21 Budget Dept '!$AC3</f>
        <v>0</v>
      </c>
      <c r="L52" s="196" t="e">
        <f>#REF!</f>
        <v>#REF!</v>
      </c>
      <c r="M52" s="196" t="e">
        <f>#REF!</f>
        <v>#REF!</v>
      </c>
      <c r="N52" s="201" t="e">
        <f>(SUM(L52,M52)-SUM(K52,J52))/SUM(K52,J52)</f>
        <v>#REF!</v>
      </c>
      <c r="O52" s="196">
        <f>'Revised FY21 Budget Dept '!$AF3</f>
        <v>20782</v>
      </c>
      <c r="P52" s="196">
        <f>'Revised FY21 Budget Dept '!$AG3</f>
        <v>0</v>
      </c>
      <c r="Q52" s="196" t="e">
        <f>#REF!</f>
        <v>#REF!</v>
      </c>
      <c r="R52" s="196" t="e">
        <f>#REF!</f>
        <v>#REF!</v>
      </c>
      <c r="S52" s="201" t="e">
        <f>(SUM(Q52,R52)-SUM(P52,O52))/SUM(P52,O52)</f>
        <v>#REF!</v>
      </c>
      <c r="T52" s="196">
        <f>'Revised FY21 Budget Dept '!$AJ3</f>
        <v>0</v>
      </c>
      <c r="U52" s="196">
        <f>'Revised FY21 Budget Dept '!$AK3</f>
        <v>0</v>
      </c>
      <c r="V52" s="196" t="e">
        <f>#REF!</f>
        <v>#REF!</v>
      </c>
      <c r="W52" s="196" t="e">
        <f>#REF!</f>
        <v>#REF!</v>
      </c>
      <c r="X52" s="201"/>
      <c r="Y52" s="196">
        <f>'Revised FY21 Budget Dept '!$AL3</f>
        <v>0</v>
      </c>
      <c r="Z52" s="196">
        <f>'Revised FY21 Budget Dept '!$AM3</f>
        <v>0</v>
      </c>
      <c r="AA52" s="196" t="e">
        <f>#REF!</f>
        <v>#REF!</v>
      </c>
      <c r="AB52" s="196" t="e">
        <f>#REF!</f>
        <v>#REF!</v>
      </c>
      <c r="AC52" s="201"/>
      <c r="AD52" s="196">
        <f>'Revised FY21 Budget Dept '!$AN3</f>
        <v>0</v>
      </c>
      <c r="AE52" s="196">
        <f>'Revised FY21 Budget Dept '!$AO3</f>
        <v>0</v>
      </c>
      <c r="AF52" s="196" t="e">
        <f>#REF!</f>
        <v>#REF!</v>
      </c>
      <c r="AG52" s="196" t="e">
        <f>#REF!</f>
        <v>#REF!</v>
      </c>
      <c r="AH52" s="201"/>
      <c r="AI52" s="196">
        <f>'Revised FY21 Budget Dept '!$AP3</f>
        <v>75000</v>
      </c>
      <c r="AJ52" s="196">
        <f>'Revised FY21 Budget Dept '!$AQ3</f>
        <v>0</v>
      </c>
      <c r="AK52" s="196" t="e">
        <f>#REF!</f>
        <v>#REF!</v>
      </c>
      <c r="AL52" s="196" t="e">
        <f>#REF!</f>
        <v>#REF!</v>
      </c>
      <c r="AM52" s="201" t="e">
        <f>(SUM(AK52,AL52)-SUM(AJ52,AI52))/SUM(AJ52,AI52)</f>
        <v>#REF!</v>
      </c>
      <c r="AN52" s="196">
        <f>'Revised FY21 Budget Dept '!$AR3</f>
        <v>0</v>
      </c>
      <c r="AO52" s="196">
        <f>'Revised FY21 Budget Dept '!$AS3</f>
        <v>0</v>
      </c>
      <c r="AP52" s="196" t="e">
        <f>#REF!</f>
        <v>#REF!</v>
      </c>
      <c r="AQ52" s="196" t="e">
        <f>#REF!</f>
        <v>#REF!</v>
      </c>
      <c r="AR52" s="197"/>
      <c r="AS52" s="196">
        <f>'Revised FY21 Budget Dept '!$AT3</f>
        <v>0</v>
      </c>
      <c r="AT52" s="196">
        <f>'Revised FY21 Budget Dept '!$AU3</f>
        <v>0</v>
      </c>
      <c r="AU52" s="196" t="e">
        <f>#REF!</f>
        <v>#REF!</v>
      </c>
      <c r="AV52" s="196" t="e">
        <f>#REF!</f>
        <v>#REF!</v>
      </c>
      <c r="AW52" s="197"/>
      <c r="AX52" s="196">
        <f>'Revised FY21 Budget Dept '!$AV3</f>
        <v>0</v>
      </c>
      <c r="AY52" s="196">
        <f>'Revised FY21 Budget Dept '!$AW3</f>
        <v>0</v>
      </c>
      <c r="AZ52" s="196" t="e">
        <f>#REF!</f>
        <v>#REF!</v>
      </c>
      <c r="BA52" s="196" t="e">
        <f>#REF!</f>
        <v>#REF!</v>
      </c>
      <c r="BB52" s="197"/>
      <c r="BC52" s="8">
        <f>+B52+C52+G52+J52+K52+O52+P52+T52+U52+Y52+Z52+AD52+AE52+AI52+AJ52+AN52+AO52+AS52+AT52+AX52+AY52</f>
        <v>124000</v>
      </c>
      <c r="BD52" s="206" t="e">
        <f>+D52+E52+H52+L52+M52+Q52+R52+V52+W52+AA52+AB52+AF52+AG52+AK52+AL52+AP52+AQ52+AU52+AV52+AZ52+BA52</f>
        <v>#REF!</v>
      </c>
      <c r="BE52" s="204" t="e">
        <f>(BD52-BC52)/BC52</f>
        <v>#REF!</v>
      </c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</row>
    <row r="53" spans="1:74" s="200" customFormat="1" ht="13.8" thickBot="1" x14ac:dyDescent="0.3">
      <c r="A53" s="207" t="s">
        <v>39</v>
      </c>
      <c r="B53" s="203">
        <f>SUM(B51:B52)</f>
        <v>0</v>
      </c>
      <c r="C53" s="203">
        <f>SUM(C51:C52)</f>
        <v>0</v>
      </c>
      <c r="D53" s="203" t="e">
        <f>SUM(D51:D52)</f>
        <v>#REF!</v>
      </c>
      <c r="E53" s="203" t="e">
        <f>SUM(E51:E52)</f>
        <v>#REF!</v>
      </c>
      <c r="F53" s="208"/>
      <c r="G53" s="203">
        <f>SUM(G51:G52)</f>
        <v>0</v>
      </c>
      <c r="H53" s="203" t="e">
        <f>SUM(H51:H52)</f>
        <v>#REF!</v>
      </c>
      <c r="I53" s="208"/>
      <c r="J53" s="203">
        <f>SUM(J51:J52)</f>
        <v>232926</v>
      </c>
      <c r="K53" s="203">
        <f>SUM(K51:K52)</f>
        <v>0</v>
      </c>
      <c r="L53" s="203" t="e">
        <f>SUM(L51:L52)</f>
        <v>#REF!</v>
      </c>
      <c r="M53" s="203" t="e">
        <f>SUM(M51:M52)</f>
        <v>#REF!</v>
      </c>
      <c r="N53" s="209" t="e">
        <f>(SUM(L53,M53)-SUM(K53,J53))/SUM(K53,J53)</f>
        <v>#REF!</v>
      </c>
      <c r="O53" s="203">
        <f>SUM(O51:O52)</f>
        <v>88906</v>
      </c>
      <c r="P53" s="203">
        <f>SUM(P51:P52)</f>
        <v>0</v>
      </c>
      <c r="Q53" s="203" t="e">
        <f>SUM(Q51:Q52)</f>
        <v>#REF!</v>
      </c>
      <c r="R53" s="203" t="e">
        <f>SUM(R51:R52)</f>
        <v>#REF!</v>
      </c>
      <c r="S53" s="209" t="e">
        <f>(SUM(Q53,R53)-SUM(P53,O53))/SUM(P53,O53)</f>
        <v>#REF!</v>
      </c>
      <c r="T53" s="203">
        <f>SUM(T51:T52)</f>
        <v>29814</v>
      </c>
      <c r="U53" s="203">
        <f>SUM(U51:U52)</f>
        <v>0</v>
      </c>
      <c r="V53" s="203" t="e">
        <f>SUM(V51:V52)</f>
        <v>#REF!</v>
      </c>
      <c r="W53" s="203" t="e">
        <f>SUM(W51:W52)</f>
        <v>#REF!</v>
      </c>
      <c r="X53" s="209" t="e">
        <f>(SUM(V53,W53)-SUM(U53,T53))/SUM(U53,T53)</f>
        <v>#REF!</v>
      </c>
      <c r="Y53" s="203">
        <f>SUM(Y51:Y52)</f>
        <v>1398</v>
      </c>
      <c r="Z53" s="203">
        <f>SUM(Z51:Z52)</f>
        <v>0</v>
      </c>
      <c r="AA53" s="203" t="e">
        <f>SUM(AA51:AA52)</f>
        <v>#REF!</v>
      </c>
      <c r="AB53" s="203" t="e">
        <f>SUM(AB51:AB52)</f>
        <v>#REF!</v>
      </c>
      <c r="AC53" s="209" t="e">
        <f>(SUM(AA53,AB53)-SUM(Z53,Y53))/SUM(Z53,Y53)</f>
        <v>#REF!</v>
      </c>
      <c r="AD53" s="203">
        <f>SUM(AD51:AD52)</f>
        <v>17210</v>
      </c>
      <c r="AE53" s="203">
        <f>SUM(AE51:AE52)</f>
        <v>0</v>
      </c>
      <c r="AF53" s="203" t="e">
        <f>SUM(AF51:AF52)</f>
        <v>#REF!</v>
      </c>
      <c r="AG53" s="203" t="e">
        <f>SUM(AG51:AG52)</f>
        <v>#REF!</v>
      </c>
      <c r="AH53" s="209" t="e">
        <f>(SUM(AF53,AG53)-SUM(AE53,AD53))/SUM(AE53,AD53)</f>
        <v>#REF!</v>
      </c>
      <c r="AI53" s="203">
        <f>SUM(AI51:AI52)</f>
        <v>77564</v>
      </c>
      <c r="AJ53" s="203">
        <f>SUM(AJ51:AJ52)</f>
        <v>0</v>
      </c>
      <c r="AK53" s="203" t="e">
        <f>SUM(AK51:AK52)</f>
        <v>#REF!</v>
      </c>
      <c r="AL53" s="203" t="e">
        <f>SUM(AL51:AL52)</f>
        <v>#REF!</v>
      </c>
      <c r="AM53" s="209" t="e">
        <f>(SUM(AK53,AL53)-SUM(AJ53,AI53))/SUM(AJ53,AI53)</f>
        <v>#REF!</v>
      </c>
      <c r="AN53" s="203">
        <f>SUM(AN51:AN52)</f>
        <v>0</v>
      </c>
      <c r="AO53" s="203">
        <f>SUM(AO51:AO52)</f>
        <v>0</v>
      </c>
      <c r="AP53" s="203" t="e">
        <f>SUM(AP51:AP52)</f>
        <v>#REF!</v>
      </c>
      <c r="AQ53" s="203" t="e">
        <f>SUM(AQ51:AQ52)</f>
        <v>#REF!</v>
      </c>
      <c r="AR53" s="208"/>
      <c r="AS53" s="203">
        <f>SUM(AS51:AS52)</f>
        <v>0</v>
      </c>
      <c r="AT53" s="203">
        <f>SUM(AT51:AT52)</f>
        <v>0</v>
      </c>
      <c r="AU53" s="203" t="e">
        <f>SUM(AU51:AU52)</f>
        <v>#REF!</v>
      </c>
      <c r="AV53" s="203" t="e">
        <f>SUM(AV51:AV52)</f>
        <v>#REF!</v>
      </c>
      <c r="AW53" s="208"/>
      <c r="AX53" s="203">
        <f>SUM(AX51:AX52)</f>
        <v>0</v>
      </c>
      <c r="AY53" s="203">
        <f>SUM(AY51:AY52)</f>
        <v>0</v>
      </c>
      <c r="AZ53" s="203" t="e">
        <f>SUM(AZ51:AZ52)</f>
        <v>#REF!</v>
      </c>
      <c r="BA53" s="203" t="e">
        <f>SUM(BA51:BA52)</f>
        <v>#REF!</v>
      </c>
      <c r="BB53" s="208"/>
      <c r="BC53" s="203">
        <f>SUM(BC51:BC52)</f>
        <v>447818</v>
      </c>
      <c r="BD53" s="203" t="e">
        <f>SUM(BD51:BD52)</f>
        <v>#REF!</v>
      </c>
      <c r="BE53" s="205" t="e">
        <f>(BD53-BC53)/BC53</f>
        <v>#REF!</v>
      </c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</row>
    <row r="54" spans="1:74" s="71" customFormat="1" ht="16.2" thickTop="1" x14ac:dyDescent="0.25">
      <c r="A54" s="191"/>
      <c r="B54" s="192"/>
      <c r="C54" s="192"/>
      <c r="D54" s="193"/>
      <c r="E54" s="193"/>
      <c r="F54" s="194"/>
      <c r="G54" s="192"/>
      <c r="H54" s="192"/>
      <c r="I54" s="194"/>
      <c r="J54" s="192"/>
      <c r="K54" s="192"/>
      <c r="L54" s="193"/>
      <c r="M54" s="193"/>
      <c r="N54" s="194"/>
      <c r="O54" s="192"/>
      <c r="P54" s="192"/>
      <c r="Q54" s="193"/>
      <c r="R54" s="193"/>
      <c r="S54" s="194"/>
      <c r="T54" s="192"/>
      <c r="U54" s="192"/>
      <c r="V54" s="193"/>
      <c r="W54" s="193"/>
      <c r="X54" s="194"/>
      <c r="Y54" s="192"/>
      <c r="Z54" s="192"/>
      <c r="AA54" s="193"/>
      <c r="AB54" s="193"/>
      <c r="AC54" s="194"/>
      <c r="AD54" s="192"/>
      <c r="AE54" s="192"/>
      <c r="AF54" s="193"/>
      <c r="AG54" s="193"/>
      <c r="AH54" s="194"/>
      <c r="AI54" s="192"/>
      <c r="AJ54" s="192"/>
      <c r="AK54" s="193"/>
      <c r="AL54" s="193"/>
      <c r="AM54" s="194"/>
      <c r="AN54" s="192"/>
      <c r="AO54" s="192"/>
      <c r="AP54" s="193"/>
      <c r="AQ54" s="193"/>
      <c r="AR54" s="194"/>
      <c r="AS54" s="192"/>
      <c r="AT54" s="192"/>
      <c r="AU54" s="193"/>
      <c r="AV54" s="193"/>
      <c r="AW54" s="194"/>
      <c r="AX54" s="192"/>
      <c r="AY54" s="192"/>
      <c r="AZ54" s="193"/>
      <c r="BA54" s="193"/>
      <c r="BB54" s="194"/>
      <c r="BC54" s="192"/>
      <c r="BD54" s="192"/>
      <c r="BE54" s="194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</row>
    <row r="55" spans="1:74" x14ac:dyDescent="0.25">
      <c r="A55" s="5" t="s">
        <v>129</v>
      </c>
      <c r="B55" s="8">
        <f>'Revised FY21 Budget Dept '!$X108</f>
        <v>0</v>
      </c>
      <c r="C55" s="8">
        <f>'Revised FY21 Budget Dept '!$Y108</f>
        <v>282565</v>
      </c>
      <c r="D55" s="75" t="e">
        <f>#REF!</f>
        <v>#REF!</v>
      </c>
      <c r="E55" s="75" t="e">
        <f>#REF!</f>
        <v>#REF!</v>
      </c>
      <c r="F55" s="182" t="e">
        <f>(SUM(D55,E55)-SUM(C55,B55))/SUM(C55,B55)</f>
        <v>#REF!</v>
      </c>
      <c r="G55" s="8">
        <f>'Revised FY21 Budget Dept '!$Z108</f>
        <v>382118</v>
      </c>
      <c r="H55" s="8" t="e">
        <f>#REF!</f>
        <v>#REF!</v>
      </c>
      <c r="I55" s="182" t="e">
        <f>(H55-G55)/G55</f>
        <v>#REF!</v>
      </c>
      <c r="J55" s="8">
        <f>'Revised FY21 Budget Dept '!$AB108</f>
        <v>0</v>
      </c>
      <c r="K55" s="8">
        <f>'Revised FY21 Budget Dept '!$AC108</f>
        <v>1362137</v>
      </c>
      <c r="L55" s="75" t="e">
        <f>#REF!</f>
        <v>#REF!</v>
      </c>
      <c r="M55" s="75" t="e">
        <f>#REF!</f>
        <v>#REF!</v>
      </c>
      <c r="N55" s="182" t="e">
        <f>(SUM(L55,M55)-SUM(K55,J55))/SUM(K55,J55)</f>
        <v>#REF!</v>
      </c>
      <c r="O55" s="8">
        <f>'Revised FY21 Budget Dept '!$AF108</f>
        <v>0</v>
      </c>
      <c r="P55" s="8">
        <f>'Revised FY21 Budget Dept '!$AG108</f>
        <v>871070</v>
      </c>
      <c r="Q55" s="75" t="e">
        <f>#REF!</f>
        <v>#REF!</v>
      </c>
      <c r="R55" s="75" t="e">
        <f>#REF!</f>
        <v>#REF!</v>
      </c>
      <c r="S55" s="182" t="e">
        <f>(SUM(Q55,R55)-SUM(P55,O55))/SUM(P55,O55)</f>
        <v>#REF!</v>
      </c>
      <c r="T55" s="8">
        <f>'Revised FY21 Budget Dept '!$AJ108</f>
        <v>0</v>
      </c>
      <c r="U55" s="8">
        <f>'Revised FY21 Budget Dept '!$AK108</f>
        <v>294366</v>
      </c>
      <c r="V55" s="75" t="e">
        <f>#REF!</f>
        <v>#REF!</v>
      </c>
      <c r="W55" s="75" t="e">
        <f>#REF!</f>
        <v>#REF!</v>
      </c>
      <c r="X55" s="182" t="e">
        <f>(SUM(V55,W55)-SUM(U55,T55))/SUM(U55,T55)</f>
        <v>#REF!</v>
      </c>
      <c r="Y55" s="8">
        <f>'Revised FY21 Budget Dept '!$AL108</f>
        <v>0</v>
      </c>
      <c r="Z55" s="8">
        <f>'Revised FY21 Budget Dept '!$AM108</f>
        <v>32789</v>
      </c>
      <c r="AA55" s="75" t="e">
        <f>#REF!</f>
        <v>#REF!</v>
      </c>
      <c r="AB55" s="75" t="e">
        <f>#REF!</f>
        <v>#REF!</v>
      </c>
      <c r="AC55" s="182" t="e">
        <f>(SUM(AA55,AB55)-SUM(Z55,Y55))/SUM(Z55,Y55)</f>
        <v>#REF!</v>
      </c>
      <c r="AD55" s="8">
        <f>'Revised FY21 Budget Dept '!$AN108</f>
        <v>0</v>
      </c>
      <c r="AE55" s="8">
        <f>'Revised FY21 Budget Dept '!$AO108</f>
        <v>290347</v>
      </c>
      <c r="AF55" s="75" t="e">
        <f>#REF!</f>
        <v>#REF!</v>
      </c>
      <c r="AG55" s="75" t="e">
        <f>#REF!</f>
        <v>#REF!</v>
      </c>
      <c r="AH55" s="182" t="e">
        <f>(SUM(AF55,AG55)-SUM(AE55,AD55))/SUM(AE55,AD55)</f>
        <v>#REF!</v>
      </c>
      <c r="AI55" s="8">
        <f>'Revised FY21 Budget Dept '!$AP108</f>
        <v>0</v>
      </c>
      <c r="AJ55" s="8">
        <f>'Revised FY21 Budget Dept '!$AQ108</f>
        <v>131653</v>
      </c>
      <c r="AK55" s="75" t="e">
        <f>#REF!</f>
        <v>#REF!</v>
      </c>
      <c r="AL55" s="75" t="e">
        <f>#REF!</f>
        <v>#REF!</v>
      </c>
      <c r="AM55" s="182" t="e">
        <f>(SUM(AK55,AL55)-SUM(AJ55,AI55))/SUM(AJ55,AI55)</f>
        <v>#REF!</v>
      </c>
      <c r="AN55" s="8">
        <f>'Revised FY21 Budget Dept '!$AR108</f>
        <v>0</v>
      </c>
      <c r="AO55" s="8">
        <f>'Revised FY21 Budget Dept '!$AS108</f>
        <v>579377</v>
      </c>
      <c r="AP55" s="75" t="e">
        <f>#REF!</f>
        <v>#REF!</v>
      </c>
      <c r="AQ55" s="75" t="e">
        <f>#REF!</f>
        <v>#REF!</v>
      </c>
      <c r="AR55" s="182" t="e">
        <f>(SUM(AP55,AQ55)-SUM(AO55,AN55))/SUM(AO55,AN55)</f>
        <v>#REF!</v>
      </c>
      <c r="AS55" s="8">
        <f>'Revised FY21 Budget Dept '!$AT108</f>
        <v>0</v>
      </c>
      <c r="AT55" s="8">
        <f>'Revised FY21 Budget Dept '!$AU108</f>
        <v>1015223</v>
      </c>
      <c r="AU55" s="75" t="e">
        <f>#REF!</f>
        <v>#REF!</v>
      </c>
      <c r="AV55" s="75" t="e">
        <f>#REF!</f>
        <v>#REF!</v>
      </c>
      <c r="AW55" s="182" t="e">
        <f>(SUM(AU55,AV55)-SUM(AT55,AS55))/SUM(AT55,AS55)</f>
        <v>#REF!</v>
      </c>
      <c r="AX55" s="8">
        <f>'Revised FY21 Budget Dept '!$AV108</f>
        <v>0</v>
      </c>
      <c r="AY55" s="8">
        <f>'Revised FY21 Budget Dept '!$AW108</f>
        <v>1407740</v>
      </c>
      <c r="AZ55" s="75" t="e">
        <f>#REF!</f>
        <v>#REF!</v>
      </c>
      <c r="BA55" s="75" t="e">
        <f>#REF!</f>
        <v>#REF!</v>
      </c>
      <c r="BB55" s="182" t="e">
        <f>(SUM(AZ55,BA55)-SUM(AY55,AX55))/SUM(AY55,AX55)</f>
        <v>#REF!</v>
      </c>
      <c r="BC55" s="8">
        <f t="shared" ref="BC55:BC63" si="13">+B55+C55+G55+J55+K55+O55+P55+T55+U55+Y55+Z55+AD55+AE55+AI55+AJ55+AN55+AO55+AS55+AT55+AX55+AY55</f>
        <v>6649385</v>
      </c>
      <c r="BD55" s="8" t="e">
        <f>+D55+E55+H55+L55+M55+Q55+R55+V55+W55+AA55+AB55+AF55+AG55+AK55+AL55+AP55+AQ55+AU55+AV55+AZ55+BA55</f>
        <v>#REF!</v>
      </c>
      <c r="BE55" s="182" t="e">
        <f>(BD55-BC55)/BC55</f>
        <v>#REF!</v>
      </c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</row>
    <row r="56" spans="1:74" x14ac:dyDescent="0.25">
      <c r="A56" s="5" t="s">
        <v>181</v>
      </c>
      <c r="B56" s="8">
        <f>'Revised FY21 Budget Dept '!$X109</f>
        <v>713714</v>
      </c>
      <c r="C56" s="8">
        <f>'Revised FY21 Budget Dept '!$Y109</f>
        <v>357473</v>
      </c>
      <c r="D56" s="75" t="e">
        <f>#REF!</f>
        <v>#REF!</v>
      </c>
      <c r="E56" s="75" t="e">
        <f>#REF!</f>
        <v>#REF!</v>
      </c>
      <c r="F56" s="182" t="e">
        <f t="shared" ref="F56:F64" si="14">(SUM(D56,E56)-SUM(C56,B56))/SUM(C56,B56)</f>
        <v>#REF!</v>
      </c>
      <c r="G56" s="8">
        <f>'Revised FY21 Budget Dept '!$Z109</f>
        <v>0</v>
      </c>
      <c r="H56" s="8" t="e">
        <f>#REF!</f>
        <v>#REF!</v>
      </c>
      <c r="I56" s="182"/>
      <c r="J56" s="8">
        <f>'Revised FY21 Budget Dept '!$AB109</f>
        <v>38207</v>
      </c>
      <c r="K56" s="8">
        <f>'Revised FY21 Budget Dept '!$AC109</f>
        <v>8659</v>
      </c>
      <c r="L56" s="75" t="e">
        <f>#REF!</f>
        <v>#REF!</v>
      </c>
      <c r="M56" s="75" t="e">
        <f>#REF!</f>
        <v>#REF!</v>
      </c>
      <c r="N56" s="182" t="e">
        <f t="shared" ref="N56:N64" si="15">(SUM(L56,M56)-SUM(K56,J56))/SUM(K56,J56)</f>
        <v>#REF!</v>
      </c>
      <c r="O56" s="8">
        <f>'Revised FY21 Budget Dept '!$AF109</f>
        <v>28073</v>
      </c>
      <c r="P56" s="8">
        <f>'Revised FY21 Budget Dept '!$AG109</f>
        <v>6360</v>
      </c>
      <c r="Q56" s="75" t="e">
        <f>#REF!</f>
        <v>#REF!</v>
      </c>
      <c r="R56" s="75" t="e">
        <f>#REF!</f>
        <v>#REF!</v>
      </c>
      <c r="S56" s="182" t="e">
        <f t="shared" ref="S56:S64" si="16">(SUM(Q56,R56)-SUM(P56,O56))/SUM(P56,O56)</f>
        <v>#REF!</v>
      </c>
      <c r="T56" s="8">
        <f>'Revised FY21 Budget Dept '!$AJ109</f>
        <v>50248</v>
      </c>
      <c r="U56" s="8">
        <f>'Revised FY21 Budget Dept '!$AK109</f>
        <v>1826</v>
      </c>
      <c r="V56" s="75" t="e">
        <f>#REF!</f>
        <v>#REF!</v>
      </c>
      <c r="W56" s="75" t="e">
        <f>#REF!</f>
        <v>#REF!</v>
      </c>
      <c r="X56" s="182" t="e">
        <f t="shared" ref="X56:X64" si="17">(SUM(V56,W56)-SUM(U56,T56))/SUM(U56,T56)</f>
        <v>#REF!</v>
      </c>
      <c r="Y56" s="8">
        <f>'Revised FY21 Budget Dept '!$AL109</f>
        <v>6333</v>
      </c>
      <c r="Z56" s="8">
        <f>'Revised FY21 Budget Dept '!$AM109</f>
        <v>231</v>
      </c>
      <c r="AA56" s="75" t="e">
        <f>#REF!</f>
        <v>#REF!</v>
      </c>
      <c r="AB56" s="75" t="e">
        <f>#REF!</f>
        <v>#REF!</v>
      </c>
      <c r="AC56" s="182" t="e">
        <f t="shared" ref="AC56:AC64" si="18">(SUM(AA56,AB56)-SUM(Z56,Y56))/SUM(Z56,Y56)</f>
        <v>#REF!</v>
      </c>
      <c r="AD56" s="8">
        <f>'Revised FY21 Budget Dept '!$AN109</f>
        <v>58539</v>
      </c>
      <c r="AE56" s="8">
        <f>'Revised FY21 Budget Dept '!$AO109</f>
        <v>1246</v>
      </c>
      <c r="AF56" s="75" t="e">
        <f>#REF!</f>
        <v>#REF!</v>
      </c>
      <c r="AG56" s="75" t="e">
        <f>#REF!</f>
        <v>#REF!</v>
      </c>
      <c r="AH56" s="182" t="e">
        <f t="shared" ref="AH56:AH64" si="19">(SUM(AF56,AG56)-SUM(AE56,AD56))/SUM(AE56,AD56)</f>
        <v>#REF!</v>
      </c>
      <c r="AI56" s="8">
        <f>'Revised FY21 Budget Dept '!$AP109</f>
        <v>8160</v>
      </c>
      <c r="AJ56" s="8">
        <f>'Revised FY21 Budget Dept '!$AQ109</f>
        <v>1911</v>
      </c>
      <c r="AK56" s="75" t="e">
        <f>#REF!</f>
        <v>#REF!</v>
      </c>
      <c r="AL56" s="75" t="e">
        <f>#REF!</f>
        <v>#REF!</v>
      </c>
      <c r="AM56" s="182" t="e">
        <f t="shared" ref="AM56:AM64" si="20">(SUM(AK56,AL56)-SUM(AJ56,AI56))/SUM(AJ56,AI56)</f>
        <v>#REF!</v>
      </c>
      <c r="AN56" s="8">
        <f>'Revised FY21 Budget Dept '!$AR109</f>
        <v>98064</v>
      </c>
      <c r="AO56" s="8">
        <f>'Revised FY21 Budget Dept '!$AS109</f>
        <v>0</v>
      </c>
      <c r="AP56" s="75" t="e">
        <f>#REF!</f>
        <v>#REF!</v>
      </c>
      <c r="AQ56" s="75" t="e">
        <f>#REF!</f>
        <v>#REF!</v>
      </c>
      <c r="AR56" s="182" t="e">
        <f t="shared" ref="AR56:AR64" si="21">(SUM(AP56,AQ56)-SUM(AO56,AN56))/SUM(AO56,AN56)</f>
        <v>#REF!</v>
      </c>
      <c r="AS56" s="8">
        <f>'Revised FY21 Budget Dept '!$AT109</f>
        <v>0</v>
      </c>
      <c r="AT56" s="8">
        <f>'Revised FY21 Budget Dept '!$AU109</f>
        <v>0</v>
      </c>
      <c r="AU56" s="75" t="e">
        <f>#REF!</f>
        <v>#REF!</v>
      </c>
      <c r="AV56" s="75" t="e">
        <f>#REF!</f>
        <v>#REF!</v>
      </c>
      <c r="AW56" s="182"/>
      <c r="AX56" s="8">
        <f>'Revised FY21 Budget Dept '!$AV109</f>
        <v>256980</v>
      </c>
      <c r="AY56" s="8">
        <f>'Revised FY21 Budget Dept '!$AW109</f>
        <v>13500</v>
      </c>
      <c r="AZ56" s="75" t="e">
        <f>#REF!</f>
        <v>#REF!</v>
      </c>
      <c r="BA56" s="75" t="e">
        <f>#REF!</f>
        <v>#REF!</v>
      </c>
      <c r="BB56" s="182" t="e">
        <f t="shared" ref="BB56:BB64" si="22">(SUM(AZ56,BA56)-SUM(AY56,AX56))/SUM(AY56,AX56)</f>
        <v>#REF!</v>
      </c>
      <c r="BC56" s="8">
        <f t="shared" si="13"/>
        <v>1649524</v>
      </c>
      <c r="BD56" s="8" t="e">
        <f t="shared" ref="BD56:BD63" si="23">+D56+E56+H56+L56+M56+Q56+R56+V56+W56+AA56+AB56+AF56+AG56+AK56+AL56+AP56+AQ56+AU56+AV56+AZ56+BA56</f>
        <v>#REF!</v>
      </c>
      <c r="BE56" s="182" t="e">
        <f t="shared" ref="BE56:BE62" si="24">(BD56-BC56)/BC56</f>
        <v>#REF!</v>
      </c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</row>
    <row r="57" spans="1:74" x14ac:dyDescent="0.25">
      <c r="A57" s="5" t="s">
        <v>182</v>
      </c>
      <c r="B57" s="8">
        <f>'Revised FY21 Budget Dept '!$X110</f>
        <v>25569</v>
      </c>
      <c r="C57" s="8">
        <f>'Revised FY21 Budget Dept '!$Y110</f>
        <v>3293</v>
      </c>
      <c r="D57" s="75" t="e">
        <f>#REF!</f>
        <v>#REF!</v>
      </c>
      <c r="E57" s="75" t="e">
        <f>#REF!</f>
        <v>#REF!</v>
      </c>
      <c r="F57" s="182" t="e">
        <f t="shared" si="14"/>
        <v>#REF!</v>
      </c>
      <c r="G57" s="8">
        <f>'Revised FY21 Budget Dept '!$Z110</f>
        <v>0</v>
      </c>
      <c r="H57" s="8" t="e">
        <f>#REF!</f>
        <v>#REF!</v>
      </c>
      <c r="I57" s="182"/>
      <c r="J57" s="8">
        <f>'Revised FY21 Budget Dept '!$AB110</f>
        <v>283023</v>
      </c>
      <c r="K57" s="8">
        <f>'Revised FY21 Budget Dept '!$AC110</f>
        <v>0</v>
      </c>
      <c r="L57" s="75" t="e">
        <f>#REF!</f>
        <v>#REF!</v>
      </c>
      <c r="M57" s="75" t="e">
        <f>#REF!</f>
        <v>#REF!</v>
      </c>
      <c r="N57" s="182" t="e">
        <f t="shared" si="15"/>
        <v>#REF!</v>
      </c>
      <c r="O57" s="8">
        <f>'Revised FY21 Budget Dept '!$AF110</f>
        <v>156428</v>
      </c>
      <c r="P57" s="8">
        <f>'Revised FY21 Budget Dept '!$AG110</f>
        <v>0</v>
      </c>
      <c r="Q57" s="75" t="e">
        <f>#REF!</f>
        <v>#REF!</v>
      </c>
      <c r="R57" s="75" t="e">
        <f>#REF!</f>
        <v>#REF!</v>
      </c>
      <c r="S57" s="182" t="e">
        <f t="shared" si="16"/>
        <v>#REF!</v>
      </c>
      <c r="T57" s="8">
        <f>'Revised FY21 Budget Dept '!$AJ110</f>
        <v>51497</v>
      </c>
      <c r="U57" s="8">
        <f>'Revised FY21 Budget Dept '!$AK110</f>
        <v>0</v>
      </c>
      <c r="V57" s="75" t="e">
        <f>#REF!</f>
        <v>#REF!</v>
      </c>
      <c r="W57" s="75" t="e">
        <f>#REF!</f>
        <v>#REF!</v>
      </c>
      <c r="X57" s="182" t="e">
        <f t="shared" si="17"/>
        <v>#REF!</v>
      </c>
      <c r="Y57" s="8">
        <f>'Revised FY21 Budget Dept '!$AL110</f>
        <v>5940</v>
      </c>
      <c r="Z57" s="8">
        <f>'Revised FY21 Budget Dept '!$AM110</f>
        <v>0</v>
      </c>
      <c r="AA57" s="75" t="e">
        <f>#REF!</f>
        <v>#REF!</v>
      </c>
      <c r="AB57" s="75" t="e">
        <f>#REF!</f>
        <v>#REF!</v>
      </c>
      <c r="AC57" s="182" t="e">
        <f t="shared" si="18"/>
        <v>#REF!</v>
      </c>
      <c r="AD57" s="8">
        <f>'Revised FY21 Budget Dept '!$AN110</f>
        <v>99048</v>
      </c>
      <c r="AE57" s="8">
        <f>'Revised FY21 Budget Dept '!$AO110</f>
        <v>0</v>
      </c>
      <c r="AF57" s="75" t="e">
        <f>#REF!</f>
        <v>#REF!</v>
      </c>
      <c r="AG57" s="75" t="e">
        <f>#REF!</f>
        <v>#REF!</v>
      </c>
      <c r="AH57" s="182" t="e">
        <f t="shared" si="19"/>
        <v>#REF!</v>
      </c>
      <c r="AI57" s="8">
        <f>'Revised FY21 Budget Dept '!$AP110</f>
        <v>46787</v>
      </c>
      <c r="AJ57" s="8">
        <f>'Revised FY21 Budget Dept '!$AQ110</f>
        <v>0</v>
      </c>
      <c r="AK57" s="75" t="e">
        <f>#REF!</f>
        <v>#REF!</v>
      </c>
      <c r="AL57" s="75" t="e">
        <f>#REF!</f>
        <v>#REF!</v>
      </c>
      <c r="AM57" s="182" t="e">
        <f t="shared" si="20"/>
        <v>#REF!</v>
      </c>
      <c r="AN57" s="8">
        <f>'Revised FY21 Budget Dept '!$AR110</f>
        <v>11400</v>
      </c>
      <c r="AO57" s="8">
        <f>'Revised FY21 Budget Dept '!$AS110</f>
        <v>0</v>
      </c>
      <c r="AP57" s="75" t="e">
        <f>#REF!</f>
        <v>#REF!</v>
      </c>
      <c r="AQ57" s="75" t="e">
        <f>#REF!</f>
        <v>#REF!</v>
      </c>
      <c r="AR57" s="182" t="e">
        <f t="shared" si="21"/>
        <v>#REF!</v>
      </c>
      <c r="AS57" s="8">
        <f>'Revised FY21 Budget Dept '!$AT110</f>
        <v>21600</v>
      </c>
      <c r="AT57" s="8">
        <f>'Revised FY21 Budget Dept '!$AU110</f>
        <v>0</v>
      </c>
      <c r="AU57" s="75" t="e">
        <f>#REF!</f>
        <v>#REF!</v>
      </c>
      <c r="AV57" s="75" t="e">
        <f>#REF!</f>
        <v>#REF!</v>
      </c>
      <c r="AW57" s="182" t="e">
        <f t="shared" ref="AW57:AW64" si="25">(SUM(AU57,AV57)-SUM(AT57,AS57))/SUM(AT57,AS57)</f>
        <v>#REF!</v>
      </c>
      <c r="AX57" s="8">
        <f>'Revised FY21 Budget Dept '!$AV110</f>
        <v>724707</v>
      </c>
      <c r="AY57" s="8">
        <f>'Revised FY21 Budget Dept '!$AW110</f>
        <v>0</v>
      </c>
      <c r="AZ57" s="75" t="e">
        <f>#REF!</f>
        <v>#REF!</v>
      </c>
      <c r="BA57" s="75" t="e">
        <f>#REF!</f>
        <v>#REF!</v>
      </c>
      <c r="BB57" s="182" t="e">
        <f t="shared" si="22"/>
        <v>#REF!</v>
      </c>
      <c r="BC57" s="8">
        <f t="shared" si="13"/>
        <v>1429292</v>
      </c>
      <c r="BD57" s="8" t="e">
        <f t="shared" si="23"/>
        <v>#REF!</v>
      </c>
      <c r="BE57" s="182" t="e">
        <f t="shared" si="24"/>
        <v>#REF!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</row>
    <row r="58" spans="1:74" x14ac:dyDescent="0.25">
      <c r="A58" s="5" t="s">
        <v>130</v>
      </c>
      <c r="B58" s="8">
        <f>'Revised FY21 Budget Dept '!$X111</f>
        <v>150300</v>
      </c>
      <c r="C58" s="8">
        <f>'Revised FY21 Budget Dept '!$Y111</f>
        <v>0</v>
      </c>
      <c r="D58" s="75" t="e">
        <f>#REF!</f>
        <v>#REF!</v>
      </c>
      <c r="E58" s="75" t="e">
        <f>#REF!</f>
        <v>#REF!</v>
      </c>
      <c r="F58" s="182" t="e">
        <f t="shared" si="14"/>
        <v>#REF!</v>
      </c>
      <c r="G58" s="8">
        <f>'Revised FY21 Budget Dept '!$Z111</f>
        <v>0</v>
      </c>
      <c r="H58" s="8" t="e">
        <f>#REF!</f>
        <v>#REF!</v>
      </c>
      <c r="I58" s="182"/>
      <c r="J58" s="8">
        <f>'Revised FY21 Budget Dept '!$AB111</f>
        <v>0</v>
      </c>
      <c r="K58" s="8">
        <f>'Revised FY21 Budget Dept '!$AC111</f>
        <v>0</v>
      </c>
      <c r="L58" s="75" t="e">
        <f>#REF!</f>
        <v>#REF!</v>
      </c>
      <c r="M58" s="75" t="e">
        <f>#REF!</f>
        <v>#REF!</v>
      </c>
      <c r="N58" s="182"/>
      <c r="O58" s="8">
        <f>'Revised FY21 Budget Dept '!$AF111</f>
        <v>0</v>
      </c>
      <c r="P58" s="8">
        <f>'Revised FY21 Budget Dept '!$AG111</f>
        <v>0</v>
      </c>
      <c r="Q58" s="75" t="e">
        <f>#REF!</f>
        <v>#REF!</v>
      </c>
      <c r="R58" s="75" t="e">
        <f>#REF!</f>
        <v>#REF!</v>
      </c>
      <c r="S58" s="182"/>
      <c r="T58" s="8">
        <f>'Revised FY21 Budget Dept '!$AJ111</f>
        <v>12375</v>
      </c>
      <c r="U58" s="8">
        <f>'Revised FY21 Budget Dept '!$AK111</f>
        <v>0</v>
      </c>
      <c r="V58" s="75" t="e">
        <f>#REF!</f>
        <v>#REF!</v>
      </c>
      <c r="W58" s="75" t="e">
        <f>#REF!</f>
        <v>#REF!</v>
      </c>
      <c r="X58" s="182" t="e">
        <f t="shared" si="17"/>
        <v>#REF!</v>
      </c>
      <c r="Y58" s="8">
        <f>'Revised FY21 Budget Dept '!$AL111</f>
        <v>1556</v>
      </c>
      <c r="Z58" s="8">
        <f>'Revised FY21 Budget Dept '!$AM111</f>
        <v>0</v>
      </c>
      <c r="AA58" s="75" t="e">
        <f>#REF!</f>
        <v>#REF!</v>
      </c>
      <c r="AB58" s="75" t="e">
        <f>#REF!</f>
        <v>#REF!</v>
      </c>
      <c r="AC58" s="182" t="e">
        <f t="shared" si="18"/>
        <v>#REF!</v>
      </c>
      <c r="AD58" s="8">
        <f>'Revised FY21 Budget Dept '!$AN111</f>
        <v>8603</v>
      </c>
      <c r="AE58" s="8">
        <f>'Revised FY21 Budget Dept '!$AO111</f>
        <v>0</v>
      </c>
      <c r="AF58" s="75" t="e">
        <f>#REF!</f>
        <v>#REF!</v>
      </c>
      <c r="AG58" s="75" t="e">
        <f>#REF!</f>
        <v>#REF!</v>
      </c>
      <c r="AH58" s="182" t="e">
        <f t="shared" si="19"/>
        <v>#REF!</v>
      </c>
      <c r="AI58" s="8">
        <f>'Revised FY21 Budget Dept '!$AP111</f>
        <v>0</v>
      </c>
      <c r="AJ58" s="8">
        <f>'Revised FY21 Budget Dept '!$AQ111</f>
        <v>0</v>
      </c>
      <c r="AK58" s="75" t="e">
        <f>#REF!</f>
        <v>#REF!</v>
      </c>
      <c r="AL58" s="75" t="e">
        <f>#REF!</f>
        <v>#REF!</v>
      </c>
      <c r="AM58" s="182"/>
      <c r="AN58" s="8">
        <f>'Revised FY21 Budget Dept '!$AR111</f>
        <v>21600</v>
      </c>
      <c r="AO58" s="8">
        <f>'Revised FY21 Budget Dept '!$AS111</f>
        <v>0</v>
      </c>
      <c r="AP58" s="75" t="e">
        <f>#REF!</f>
        <v>#REF!</v>
      </c>
      <c r="AQ58" s="75" t="e">
        <f>#REF!</f>
        <v>#REF!</v>
      </c>
      <c r="AR58" s="182" t="e">
        <f t="shared" si="21"/>
        <v>#REF!</v>
      </c>
      <c r="AS58" s="8">
        <f>'Revised FY21 Budget Dept '!$AT111</f>
        <v>12000</v>
      </c>
      <c r="AT58" s="8">
        <f>'Revised FY21 Budget Dept '!$AU111</f>
        <v>0</v>
      </c>
      <c r="AU58" s="75" t="e">
        <f>#REF!</f>
        <v>#REF!</v>
      </c>
      <c r="AV58" s="75" t="e">
        <f>#REF!</f>
        <v>#REF!</v>
      </c>
      <c r="AW58" s="182" t="e">
        <f t="shared" si="25"/>
        <v>#REF!</v>
      </c>
      <c r="AX58" s="8">
        <f>'Revised FY21 Budget Dept '!$AV111</f>
        <v>0</v>
      </c>
      <c r="AY58" s="8">
        <f>'Revised FY21 Budget Dept '!$AW111</f>
        <v>0</v>
      </c>
      <c r="AZ58" s="75" t="e">
        <f>#REF!</f>
        <v>#REF!</v>
      </c>
      <c r="BA58" s="75" t="e">
        <f>#REF!</f>
        <v>#REF!</v>
      </c>
      <c r="BB58" s="182"/>
      <c r="BC58" s="8">
        <f t="shared" si="13"/>
        <v>206434</v>
      </c>
      <c r="BD58" s="8" t="e">
        <f t="shared" si="23"/>
        <v>#REF!</v>
      </c>
      <c r="BE58" s="182" t="e">
        <f t="shared" si="24"/>
        <v>#REF!</v>
      </c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</row>
    <row r="59" spans="1:74" x14ac:dyDescent="0.25">
      <c r="A59" s="5" t="s">
        <v>131</v>
      </c>
      <c r="B59" s="8">
        <f>'Revised FY21 Budget Dept '!$X112</f>
        <v>0</v>
      </c>
      <c r="C59" s="8">
        <f>'Revised FY21 Budget Dept '!$Y112</f>
        <v>336</v>
      </c>
      <c r="D59" s="75" t="e">
        <f>#REF!</f>
        <v>#REF!</v>
      </c>
      <c r="E59" s="75" t="e">
        <f>#REF!</f>
        <v>#REF!</v>
      </c>
      <c r="F59" s="182" t="e">
        <f t="shared" si="14"/>
        <v>#REF!</v>
      </c>
      <c r="G59" s="8">
        <f>'Revised FY21 Budget Dept '!$Z112</f>
        <v>0</v>
      </c>
      <c r="H59" s="8" t="e">
        <f>#REF!</f>
        <v>#REF!</v>
      </c>
      <c r="I59" s="182"/>
      <c r="J59" s="8">
        <f>'Revised FY21 Budget Dept '!$AB112</f>
        <v>92832</v>
      </c>
      <c r="K59" s="8">
        <f>'Revised FY21 Budget Dept '!$AC112</f>
        <v>30024</v>
      </c>
      <c r="L59" s="75" t="e">
        <f>#REF!</f>
        <v>#REF!</v>
      </c>
      <c r="M59" s="75" t="e">
        <f>#REF!</f>
        <v>#REF!</v>
      </c>
      <c r="N59" s="182" t="e">
        <f t="shared" si="15"/>
        <v>#REF!</v>
      </c>
      <c r="O59" s="8">
        <f>'Revised FY21 Budget Dept '!$AF112</f>
        <v>56340</v>
      </c>
      <c r="P59" s="8">
        <f>'Revised FY21 Budget Dept '!$AG112</f>
        <v>15876</v>
      </c>
      <c r="Q59" s="75" t="e">
        <f>#REF!</f>
        <v>#REF!</v>
      </c>
      <c r="R59" s="75" t="e">
        <f>#REF!</f>
        <v>#REF!</v>
      </c>
      <c r="S59" s="182" t="e">
        <f t="shared" si="16"/>
        <v>#REF!</v>
      </c>
      <c r="T59" s="8">
        <f>'Revised FY21 Budget Dept '!$AJ112</f>
        <v>28140</v>
      </c>
      <c r="U59" s="8">
        <f>'Revised FY21 Budget Dept '!$AK112</f>
        <v>8928</v>
      </c>
      <c r="V59" s="75" t="e">
        <f>#REF!</f>
        <v>#REF!</v>
      </c>
      <c r="W59" s="75" t="e">
        <f>#REF!</f>
        <v>#REF!</v>
      </c>
      <c r="X59" s="182" t="e">
        <f t="shared" si="17"/>
        <v>#REF!</v>
      </c>
      <c r="Y59" s="8">
        <f>'Revised FY21 Budget Dept '!$AL112</f>
        <v>3372</v>
      </c>
      <c r="Z59" s="8">
        <f>'Revised FY21 Budget Dept '!$AM112</f>
        <v>996</v>
      </c>
      <c r="AA59" s="75" t="e">
        <f>#REF!</f>
        <v>#REF!</v>
      </c>
      <c r="AB59" s="75" t="e">
        <f>#REF!</f>
        <v>#REF!</v>
      </c>
      <c r="AC59" s="182" t="e">
        <f t="shared" si="18"/>
        <v>#REF!</v>
      </c>
      <c r="AD59" s="8">
        <f>'Revised FY21 Budget Dept '!$AN112</f>
        <v>16860</v>
      </c>
      <c r="AE59" s="8">
        <f>'Revised FY21 Budget Dept '!$AO112</f>
        <v>8808</v>
      </c>
      <c r="AF59" s="75" t="e">
        <f>#REF!</f>
        <v>#REF!</v>
      </c>
      <c r="AG59" s="75" t="e">
        <f>#REF!</f>
        <v>#REF!</v>
      </c>
      <c r="AH59" s="182" t="e">
        <f t="shared" si="19"/>
        <v>#REF!</v>
      </c>
      <c r="AI59" s="8">
        <f>'Revised FY21 Budget Dept '!$AP112</f>
        <v>0</v>
      </c>
      <c r="AJ59" s="8">
        <f>'Revised FY21 Budget Dept '!$AQ112</f>
        <v>3996</v>
      </c>
      <c r="AK59" s="75" t="e">
        <f>#REF!</f>
        <v>#REF!</v>
      </c>
      <c r="AL59" s="75" t="e">
        <f>#REF!</f>
        <v>#REF!</v>
      </c>
      <c r="AM59" s="182" t="e">
        <f t="shared" si="20"/>
        <v>#REF!</v>
      </c>
      <c r="AN59" s="8">
        <f>'Revised FY21 Budget Dept '!$AR112</f>
        <v>0</v>
      </c>
      <c r="AO59" s="8">
        <f>'Revised FY21 Budget Dept '!$AS112</f>
        <v>492</v>
      </c>
      <c r="AP59" s="75" t="e">
        <f>#REF!</f>
        <v>#REF!</v>
      </c>
      <c r="AQ59" s="75" t="e">
        <f>#REF!</f>
        <v>#REF!</v>
      </c>
      <c r="AR59" s="182" t="e">
        <f t="shared" si="21"/>
        <v>#REF!</v>
      </c>
      <c r="AS59" s="8">
        <f>'Revised FY21 Budget Dept '!$AT112</f>
        <v>1980</v>
      </c>
      <c r="AT59" s="8">
        <f>'Revised FY21 Budget Dept '!$AU112</f>
        <v>588</v>
      </c>
      <c r="AU59" s="75" t="e">
        <f>#REF!</f>
        <v>#REF!</v>
      </c>
      <c r="AV59" s="75" t="e">
        <f>#REF!</f>
        <v>#REF!</v>
      </c>
      <c r="AW59" s="182" t="e">
        <f t="shared" si="25"/>
        <v>#REF!</v>
      </c>
      <c r="AX59" s="8">
        <f>'Revised FY21 Budget Dept '!$AV112</f>
        <v>21504</v>
      </c>
      <c r="AY59" s="8">
        <f>'Revised FY21 Budget Dept '!$AW112</f>
        <v>12180</v>
      </c>
      <c r="AZ59" s="75" t="e">
        <f>#REF!</f>
        <v>#REF!</v>
      </c>
      <c r="BA59" s="75" t="e">
        <f>#REF!</f>
        <v>#REF!</v>
      </c>
      <c r="BB59" s="182" t="e">
        <f t="shared" si="22"/>
        <v>#REF!</v>
      </c>
      <c r="BC59" s="8">
        <f t="shared" si="13"/>
        <v>303252</v>
      </c>
      <c r="BD59" s="8" t="e">
        <f t="shared" si="23"/>
        <v>#REF!</v>
      </c>
      <c r="BE59" s="182" t="e">
        <f t="shared" si="24"/>
        <v>#REF!</v>
      </c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</row>
    <row r="60" spans="1:74" x14ac:dyDescent="0.25">
      <c r="A60" s="5" t="s">
        <v>90</v>
      </c>
      <c r="B60" s="8">
        <f>'Revised FY21 Budget Dept '!$X113</f>
        <v>0</v>
      </c>
      <c r="C60" s="8">
        <f>'Revised FY21 Budget Dept '!$Y113</f>
        <v>0</v>
      </c>
      <c r="D60" s="75" t="e">
        <f>#REF!</f>
        <v>#REF!</v>
      </c>
      <c r="E60" s="75" t="e">
        <f>#REF!</f>
        <v>#REF!</v>
      </c>
      <c r="F60" s="182"/>
      <c r="G60" s="8">
        <f>'Revised FY21 Budget Dept '!$Z113</f>
        <v>0</v>
      </c>
      <c r="H60" s="8" t="e">
        <f>#REF!</f>
        <v>#REF!</v>
      </c>
      <c r="I60" s="182"/>
      <c r="J60" s="8">
        <f>'Revised FY21 Budget Dept '!$AB113</f>
        <v>0</v>
      </c>
      <c r="K60" s="8">
        <f>'Revised FY21 Budget Dept '!$AC113</f>
        <v>0</v>
      </c>
      <c r="L60" s="75" t="e">
        <f>#REF!</f>
        <v>#REF!</v>
      </c>
      <c r="M60" s="75" t="e">
        <f>#REF!</f>
        <v>#REF!</v>
      </c>
      <c r="N60" s="182"/>
      <c r="O60" s="8">
        <f>'Revised FY21 Budget Dept '!$AF113</f>
        <v>0</v>
      </c>
      <c r="P60" s="8">
        <f>'Revised FY21 Budget Dept '!$AG113</f>
        <v>0</v>
      </c>
      <c r="Q60" s="75" t="e">
        <f>#REF!</f>
        <v>#REF!</v>
      </c>
      <c r="R60" s="75" t="e">
        <f>#REF!</f>
        <v>#REF!</v>
      </c>
      <c r="S60" s="182"/>
      <c r="T60" s="8">
        <f>'Revised FY21 Budget Dept '!$AJ113</f>
        <v>0</v>
      </c>
      <c r="U60" s="8">
        <f>'Revised FY21 Budget Dept '!$AK113</f>
        <v>0</v>
      </c>
      <c r="V60" s="75" t="e">
        <f>#REF!</f>
        <v>#REF!</v>
      </c>
      <c r="W60" s="75" t="e">
        <f>#REF!</f>
        <v>#REF!</v>
      </c>
      <c r="X60" s="182"/>
      <c r="Y60" s="8">
        <f>'Revised FY21 Budget Dept '!$AL113</f>
        <v>24000</v>
      </c>
      <c r="Z60" s="8">
        <f>'Revised FY21 Budget Dept '!$AM113</f>
        <v>0</v>
      </c>
      <c r="AA60" s="75" t="e">
        <f>#REF!</f>
        <v>#REF!</v>
      </c>
      <c r="AB60" s="75" t="e">
        <f>#REF!</f>
        <v>#REF!</v>
      </c>
      <c r="AC60" s="182" t="e">
        <f t="shared" si="18"/>
        <v>#REF!</v>
      </c>
      <c r="AD60" s="8">
        <f>'Revised FY21 Budget Dept '!$AN113</f>
        <v>1200</v>
      </c>
      <c r="AE60" s="8">
        <f>'Revised FY21 Budget Dept '!$AO113</f>
        <v>0</v>
      </c>
      <c r="AF60" s="75" t="e">
        <f>#REF!</f>
        <v>#REF!</v>
      </c>
      <c r="AG60" s="75" t="e">
        <f>#REF!</f>
        <v>#REF!</v>
      </c>
      <c r="AH60" s="182" t="e">
        <f t="shared" si="19"/>
        <v>#REF!</v>
      </c>
      <c r="AI60" s="8">
        <f>'Revised FY21 Budget Dept '!$AP113</f>
        <v>75000</v>
      </c>
      <c r="AJ60" s="8">
        <f>'Revised FY21 Budget Dept '!$AQ113</f>
        <v>0</v>
      </c>
      <c r="AK60" s="75" t="e">
        <f>#REF!</f>
        <v>#REF!</v>
      </c>
      <c r="AL60" s="75" t="e">
        <f>#REF!</f>
        <v>#REF!</v>
      </c>
      <c r="AM60" s="182" t="e">
        <f t="shared" si="20"/>
        <v>#REF!</v>
      </c>
      <c r="AN60" s="8">
        <f>'Revised FY21 Budget Dept '!$AR113</f>
        <v>0</v>
      </c>
      <c r="AO60" s="8">
        <f>'Revised FY21 Budget Dept '!$AS113</f>
        <v>0</v>
      </c>
      <c r="AP60" s="75" t="e">
        <f>#REF!</f>
        <v>#REF!</v>
      </c>
      <c r="AQ60" s="75" t="e">
        <f>#REF!</f>
        <v>#REF!</v>
      </c>
      <c r="AR60" s="182"/>
      <c r="AS60" s="8">
        <f>'Revised FY21 Budget Dept '!$AT113</f>
        <v>0</v>
      </c>
      <c r="AT60" s="8">
        <f>'Revised FY21 Budget Dept '!$AU113</f>
        <v>0</v>
      </c>
      <c r="AU60" s="75" t="e">
        <f>#REF!</f>
        <v>#REF!</v>
      </c>
      <c r="AV60" s="75" t="e">
        <f>#REF!</f>
        <v>#REF!</v>
      </c>
      <c r="AW60" s="182"/>
      <c r="AX60" s="8">
        <f>'Revised FY21 Budget Dept '!$AV113</f>
        <v>0</v>
      </c>
      <c r="AY60" s="8">
        <f>'Revised FY21 Budget Dept '!$AW113</f>
        <v>0</v>
      </c>
      <c r="AZ60" s="75" t="e">
        <f>#REF!</f>
        <v>#REF!</v>
      </c>
      <c r="BA60" s="75" t="e">
        <f>#REF!</f>
        <v>#REF!</v>
      </c>
      <c r="BB60" s="182"/>
      <c r="BC60" s="8">
        <f t="shared" si="13"/>
        <v>100200</v>
      </c>
      <c r="BD60" s="8" t="e">
        <f t="shared" si="23"/>
        <v>#REF!</v>
      </c>
      <c r="BE60" s="182" t="e">
        <f t="shared" si="24"/>
        <v>#REF!</v>
      </c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</row>
    <row r="61" spans="1:74" x14ac:dyDescent="0.25">
      <c r="A61" s="5" t="s">
        <v>132</v>
      </c>
      <c r="B61" s="8">
        <f>'Revised FY21 Budget Dept '!$X114</f>
        <v>0</v>
      </c>
      <c r="C61" s="8">
        <f>'Revised FY21 Budget Dept '!$Y114</f>
        <v>19035</v>
      </c>
      <c r="D61" s="75" t="e">
        <f>#REF!</f>
        <v>#REF!</v>
      </c>
      <c r="E61" s="75" t="e">
        <f>#REF!</f>
        <v>#REF!</v>
      </c>
      <c r="F61" s="182" t="e">
        <f t="shared" si="14"/>
        <v>#REF!</v>
      </c>
      <c r="G61" s="8">
        <f>'Revised FY21 Budget Dept '!$Z114</f>
        <v>12440</v>
      </c>
      <c r="H61" s="8" t="e">
        <f>#REF!</f>
        <v>#REF!</v>
      </c>
      <c r="I61" s="182" t="e">
        <f>(H61-G61)/G61</f>
        <v>#REF!</v>
      </c>
      <c r="J61" s="8">
        <f>'Revised FY21 Budget Dept '!$AB114</f>
        <v>0</v>
      </c>
      <c r="K61" s="8">
        <f>'Revised FY21 Budget Dept '!$AC114</f>
        <v>0</v>
      </c>
      <c r="L61" s="75" t="e">
        <f>#REF!</f>
        <v>#REF!</v>
      </c>
      <c r="M61" s="75" t="e">
        <f>#REF!</f>
        <v>#REF!</v>
      </c>
      <c r="N61" s="182"/>
      <c r="O61" s="8">
        <f>'Revised FY21 Budget Dept '!$AF114</f>
        <v>0</v>
      </c>
      <c r="P61" s="8">
        <f>'Revised FY21 Budget Dept '!$AG114</f>
        <v>0</v>
      </c>
      <c r="Q61" s="75" t="e">
        <f>#REF!</f>
        <v>#REF!</v>
      </c>
      <c r="R61" s="75" t="e">
        <f>#REF!</f>
        <v>#REF!</v>
      </c>
      <c r="S61" s="182"/>
      <c r="T61" s="8">
        <f>'Revised FY21 Budget Dept '!$AJ114</f>
        <v>0</v>
      </c>
      <c r="U61" s="8">
        <f>'Revised FY21 Budget Dept '!$AK114</f>
        <v>0</v>
      </c>
      <c r="V61" s="75" t="e">
        <f>#REF!</f>
        <v>#REF!</v>
      </c>
      <c r="W61" s="75" t="e">
        <f>#REF!</f>
        <v>#REF!</v>
      </c>
      <c r="X61" s="182"/>
      <c r="Y61" s="8">
        <f>'Revised FY21 Budget Dept '!$AL114</f>
        <v>0</v>
      </c>
      <c r="Z61" s="8">
        <f>'Revised FY21 Budget Dept '!$AM114</f>
        <v>0</v>
      </c>
      <c r="AA61" s="75" t="e">
        <f>#REF!</f>
        <v>#REF!</v>
      </c>
      <c r="AB61" s="75" t="e">
        <f>#REF!</f>
        <v>#REF!</v>
      </c>
      <c r="AC61" s="182"/>
      <c r="AD61" s="8">
        <f>'Revised FY21 Budget Dept '!$AN114</f>
        <v>0</v>
      </c>
      <c r="AE61" s="8">
        <f>'Revised FY21 Budget Dept '!$AO114</f>
        <v>0</v>
      </c>
      <c r="AF61" s="75" t="e">
        <f>#REF!</f>
        <v>#REF!</v>
      </c>
      <c r="AG61" s="75" t="e">
        <f>#REF!</f>
        <v>#REF!</v>
      </c>
      <c r="AH61" s="182"/>
      <c r="AI61" s="8">
        <f>'Revised FY21 Budget Dept '!$AP114</f>
        <v>0</v>
      </c>
      <c r="AJ61" s="8">
        <f>'Revised FY21 Budget Dept '!$AQ114</f>
        <v>0</v>
      </c>
      <c r="AK61" s="75" t="e">
        <f>#REF!</f>
        <v>#REF!</v>
      </c>
      <c r="AL61" s="75" t="e">
        <f>#REF!</f>
        <v>#REF!</v>
      </c>
      <c r="AM61" s="182"/>
      <c r="AN61" s="8">
        <f>'Revised FY21 Budget Dept '!$AR114</f>
        <v>0</v>
      </c>
      <c r="AO61" s="8">
        <f>'Revised FY21 Budget Dept '!$AS114</f>
        <v>4200</v>
      </c>
      <c r="AP61" s="75" t="e">
        <f>#REF!</f>
        <v>#REF!</v>
      </c>
      <c r="AQ61" s="75" t="e">
        <f>#REF!</f>
        <v>#REF!</v>
      </c>
      <c r="AR61" s="182" t="e">
        <f t="shared" si="21"/>
        <v>#REF!</v>
      </c>
      <c r="AS61" s="8">
        <f>'Revised FY21 Budget Dept '!$AT114</f>
        <v>0</v>
      </c>
      <c r="AT61" s="8">
        <f>'Revised FY21 Budget Dept '!$AU114</f>
        <v>16200</v>
      </c>
      <c r="AU61" s="75" t="e">
        <f>#REF!</f>
        <v>#REF!</v>
      </c>
      <c r="AV61" s="75" t="e">
        <f>#REF!</f>
        <v>#REF!</v>
      </c>
      <c r="AW61" s="182" t="e">
        <f t="shared" si="25"/>
        <v>#REF!</v>
      </c>
      <c r="AX61" s="8">
        <f>'Revised FY21 Budget Dept '!$AV114</f>
        <v>60</v>
      </c>
      <c r="AY61" s="8">
        <f>'Revised FY21 Budget Dept '!$AW114</f>
        <v>15000</v>
      </c>
      <c r="AZ61" s="75" t="e">
        <f>#REF!</f>
        <v>#REF!</v>
      </c>
      <c r="BA61" s="75" t="e">
        <f>#REF!</f>
        <v>#REF!</v>
      </c>
      <c r="BB61" s="182" t="e">
        <f t="shared" si="22"/>
        <v>#REF!</v>
      </c>
      <c r="BC61" s="8">
        <f t="shared" si="13"/>
        <v>66935</v>
      </c>
      <c r="BD61" s="8" t="e">
        <f t="shared" si="23"/>
        <v>#REF!</v>
      </c>
      <c r="BE61" s="182" t="e">
        <f t="shared" si="24"/>
        <v>#REF!</v>
      </c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</row>
    <row r="62" spans="1:74" x14ac:dyDescent="0.25">
      <c r="A62" s="5" t="s">
        <v>133</v>
      </c>
      <c r="B62" s="8">
        <f>'Revised FY21 Budget Dept '!$X115</f>
        <v>2472</v>
      </c>
      <c r="C62" s="8">
        <f>'Revised FY21 Budget Dept '!$Y115</f>
        <v>0</v>
      </c>
      <c r="D62" s="75" t="e">
        <f>#REF!</f>
        <v>#REF!</v>
      </c>
      <c r="E62" s="75" t="e">
        <f>#REF!</f>
        <v>#REF!</v>
      </c>
      <c r="F62" s="182" t="e">
        <f t="shared" si="14"/>
        <v>#REF!</v>
      </c>
      <c r="G62" s="8">
        <f>'Revised FY21 Budget Dept '!$Z115</f>
        <v>0</v>
      </c>
      <c r="H62" s="8" t="e">
        <f>#REF!</f>
        <v>#REF!</v>
      </c>
      <c r="I62" s="182"/>
      <c r="J62" s="8">
        <f>'Revised FY21 Budget Dept '!$AB115</f>
        <v>0</v>
      </c>
      <c r="K62" s="8">
        <f>'Revised FY21 Budget Dept '!$AC115</f>
        <v>0</v>
      </c>
      <c r="L62" s="75" t="e">
        <f>#REF!</f>
        <v>#REF!</v>
      </c>
      <c r="M62" s="75" t="e">
        <f>#REF!</f>
        <v>#REF!</v>
      </c>
      <c r="N62" s="182"/>
      <c r="O62" s="8">
        <f>'Revised FY21 Budget Dept '!$AF115</f>
        <v>0</v>
      </c>
      <c r="P62" s="8">
        <f>'Revised FY21 Budget Dept '!$AG115</f>
        <v>0</v>
      </c>
      <c r="Q62" s="75" t="e">
        <f>#REF!</f>
        <v>#REF!</v>
      </c>
      <c r="R62" s="75" t="e">
        <f>#REF!</f>
        <v>#REF!</v>
      </c>
      <c r="S62" s="182"/>
      <c r="T62" s="8">
        <f>'Revised FY21 Budget Dept '!$AJ115</f>
        <v>0</v>
      </c>
      <c r="U62" s="8">
        <f>'Revised FY21 Budget Dept '!$AK115</f>
        <v>0</v>
      </c>
      <c r="V62" s="75" t="e">
        <f>#REF!</f>
        <v>#REF!</v>
      </c>
      <c r="W62" s="75" t="e">
        <f>#REF!</f>
        <v>#REF!</v>
      </c>
      <c r="X62" s="182"/>
      <c r="Y62" s="8">
        <f>'Revised FY21 Budget Dept '!$AL115</f>
        <v>0</v>
      </c>
      <c r="Z62" s="8">
        <f>'Revised FY21 Budget Dept '!$AM115</f>
        <v>0</v>
      </c>
      <c r="AA62" s="75" t="e">
        <f>#REF!</f>
        <v>#REF!</v>
      </c>
      <c r="AB62" s="75" t="e">
        <f>#REF!</f>
        <v>#REF!</v>
      </c>
      <c r="AC62" s="182"/>
      <c r="AD62" s="8">
        <f>'Revised FY21 Budget Dept '!$AN115</f>
        <v>0</v>
      </c>
      <c r="AE62" s="8">
        <f>'Revised FY21 Budget Dept '!$AO115</f>
        <v>0</v>
      </c>
      <c r="AF62" s="75" t="e">
        <f>#REF!</f>
        <v>#REF!</v>
      </c>
      <c r="AG62" s="75" t="e">
        <f>#REF!</f>
        <v>#REF!</v>
      </c>
      <c r="AH62" s="182"/>
      <c r="AI62" s="8">
        <f>'Revised FY21 Budget Dept '!$AP115</f>
        <v>100516</v>
      </c>
      <c r="AJ62" s="8">
        <f>'Revised FY21 Budget Dept '!$AQ115</f>
        <v>0</v>
      </c>
      <c r="AK62" s="75" t="e">
        <f>#REF!</f>
        <v>#REF!</v>
      </c>
      <c r="AL62" s="75" t="e">
        <f>#REF!</f>
        <v>#REF!</v>
      </c>
      <c r="AM62" s="182" t="e">
        <f t="shared" si="20"/>
        <v>#REF!</v>
      </c>
      <c r="AN62" s="8">
        <f>'Revised FY21 Budget Dept '!$AR115</f>
        <v>1680</v>
      </c>
      <c r="AO62" s="8">
        <f>'Revised FY21 Budget Dept '!$AS115</f>
        <v>0</v>
      </c>
      <c r="AP62" s="75" t="e">
        <f>#REF!</f>
        <v>#REF!</v>
      </c>
      <c r="AQ62" s="75" t="e">
        <f>#REF!</f>
        <v>#REF!</v>
      </c>
      <c r="AR62" s="182" t="e">
        <f t="shared" si="21"/>
        <v>#REF!</v>
      </c>
      <c r="AS62" s="8">
        <f>'Revised FY21 Budget Dept '!$AT115</f>
        <v>0</v>
      </c>
      <c r="AT62" s="8">
        <f>'Revised FY21 Budget Dept '!$AU115</f>
        <v>0</v>
      </c>
      <c r="AU62" s="75" t="e">
        <f>#REF!</f>
        <v>#REF!</v>
      </c>
      <c r="AV62" s="75" t="e">
        <f>#REF!</f>
        <v>#REF!</v>
      </c>
      <c r="AW62" s="182"/>
      <c r="AX62" s="8">
        <f>'Revised FY21 Budget Dept '!$AV115</f>
        <v>0</v>
      </c>
      <c r="AY62" s="8">
        <f>'Revised FY21 Budget Dept '!$AW115</f>
        <v>0</v>
      </c>
      <c r="AZ62" s="75" t="e">
        <f>#REF!</f>
        <v>#REF!</v>
      </c>
      <c r="BA62" s="75" t="e">
        <f>#REF!</f>
        <v>#REF!</v>
      </c>
      <c r="BB62" s="182"/>
      <c r="BC62" s="8">
        <f t="shared" si="13"/>
        <v>104668</v>
      </c>
      <c r="BD62" s="8" t="e">
        <f t="shared" si="23"/>
        <v>#REF!</v>
      </c>
      <c r="BE62" s="182" t="e">
        <f t="shared" si="24"/>
        <v>#REF!</v>
      </c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</row>
    <row r="63" spans="1:74" x14ac:dyDescent="0.25">
      <c r="A63" s="5" t="s">
        <v>134</v>
      </c>
      <c r="B63" s="318"/>
      <c r="C63" s="8">
        <f>'Revised FY21 Budget Dept '!$Y116</f>
        <v>0</v>
      </c>
      <c r="D63" s="75" t="e">
        <f>#REF!</f>
        <v>#REF!</v>
      </c>
      <c r="E63" s="75" t="e">
        <f>#REF!</f>
        <v>#REF!</v>
      </c>
      <c r="F63" s="182"/>
      <c r="G63" s="8">
        <f>'Revised FY21 Budget Dept '!$Z116</f>
        <v>0</v>
      </c>
      <c r="H63" s="8" t="e">
        <f>#REF!</f>
        <v>#REF!</v>
      </c>
      <c r="I63" s="182"/>
      <c r="J63" s="8">
        <f>'Revised FY21 Budget Dept '!$AB116</f>
        <v>0</v>
      </c>
      <c r="K63" s="8">
        <f>'Revised FY21 Budget Dept '!$AC116</f>
        <v>0</v>
      </c>
      <c r="L63" s="75" t="e">
        <f>#REF!</f>
        <v>#REF!</v>
      </c>
      <c r="M63" s="75" t="e">
        <f>#REF!</f>
        <v>#REF!</v>
      </c>
      <c r="N63" s="182"/>
      <c r="O63" s="8">
        <f>'Revised FY21 Budget Dept '!$AF116</f>
        <v>0</v>
      </c>
      <c r="P63" s="8">
        <f>'Revised FY21 Budget Dept '!$AG116</f>
        <v>0</v>
      </c>
      <c r="Q63" s="75" t="e">
        <f>#REF!</f>
        <v>#REF!</v>
      </c>
      <c r="R63" s="75" t="e">
        <f>#REF!</f>
        <v>#REF!</v>
      </c>
      <c r="S63" s="182"/>
      <c r="T63" s="8">
        <f>'Revised FY21 Budget Dept '!$AJ116</f>
        <v>0</v>
      </c>
      <c r="U63" s="8">
        <f>'Revised FY21 Budget Dept '!$AK116</f>
        <v>0</v>
      </c>
      <c r="V63" s="75" t="e">
        <f>#REF!</f>
        <v>#REF!</v>
      </c>
      <c r="W63" s="75" t="e">
        <f>#REF!</f>
        <v>#REF!</v>
      </c>
      <c r="X63" s="182"/>
      <c r="Y63" s="8">
        <f>'Revised FY21 Budget Dept '!$AL116</f>
        <v>0</v>
      </c>
      <c r="Z63" s="8">
        <f>'Revised FY21 Budget Dept '!$AM116</f>
        <v>0</v>
      </c>
      <c r="AA63" s="75" t="e">
        <f>#REF!</f>
        <v>#REF!</v>
      </c>
      <c r="AB63" s="75" t="e">
        <f>#REF!</f>
        <v>#REF!</v>
      </c>
      <c r="AC63" s="182"/>
      <c r="AD63" s="8">
        <f>'Revised FY21 Budget Dept '!$AN116</f>
        <v>0</v>
      </c>
      <c r="AE63" s="8">
        <f>'Revised FY21 Budget Dept '!$AO116</f>
        <v>0</v>
      </c>
      <c r="AF63" s="75" t="e">
        <f>#REF!</f>
        <v>#REF!</v>
      </c>
      <c r="AG63" s="75" t="e">
        <f>#REF!</f>
        <v>#REF!</v>
      </c>
      <c r="AH63" s="182"/>
      <c r="AI63" s="8">
        <f>'Revised FY21 Budget Dept '!$AP116</f>
        <v>0</v>
      </c>
      <c r="AJ63" s="8">
        <f>'Revised FY21 Budget Dept '!$AQ116</f>
        <v>0</v>
      </c>
      <c r="AK63" s="75" t="e">
        <f>#REF!</f>
        <v>#REF!</v>
      </c>
      <c r="AL63" s="75" t="e">
        <f>#REF!</f>
        <v>#REF!</v>
      </c>
      <c r="AM63" s="182"/>
      <c r="AN63" s="8">
        <f>'Revised FY21 Budget Dept '!$AR116</f>
        <v>0</v>
      </c>
      <c r="AO63" s="8">
        <f>'Revised FY21 Budget Dept '!$AS116</f>
        <v>0</v>
      </c>
      <c r="AP63" s="75" t="e">
        <f>#REF!</f>
        <v>#REF!</v>
      </c>
      <c r="AQ63" s="75" t="e">
        <f>#REF!</f>
        <v>#REF!</v>
      </c>
      <c r="AR63" s="182"/>
      <c r="AS63" s="8">
        <f>'Revised FY21 Budget Dept '!$AT116</f>
        <v>0</v>
      </c>
      <c r="AT63" s="8">
        <f>'Revised FY21 Budget Dept '!$AU116</f>
        <v>0</v>
      </c>
      <c r="AU63" s="75" t="e">
        <f>#REF!</f>
        <v>#REF!</v>
      </c>
      <c r="AV63" s="75" t="e">
        <f>#REF!</f>
        <v>#REF!</v>
      </c>
      <c r="AW63" s="182"/>
      <c r="AX63" s="8">
        <f>'Revised FY21 Budget Dept '!$AV116</f>
        <v>0</v>
      </c>
      <c r="AY63" s="8">
        <f>'Revised FY21 Budget Dept '!$AW116</f>
        <v>0</v>
      </c>
      <c r="AZ63" s="75" t="e">
        <f>#REF!</f>
        <v>#REF!</v>
      </c>
      <c r="BA63" s="75" t="e">
        <f>#REF!</f>
        <v>#REF!</v>
      </c>
      <c r="BB63" s="182"/>
      <c r="BC63" s="8">
        <f t="shared" si="13"/>
        <v>0</v>
      </c>
      <c r="BD63" s="8" t="e">
        <f t="shared" si="23"/>
        <v>#REF!</v>
      </c>
      <c r="BE63" s="182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</row>
    <row r="64" spans="1:74" ht="13.8" thickBot="1" x14ac:dyDescent="0.3">
      <c r="A64" s="188" t="s">
        <v>128</v>
      </c>
      <c r="B64" s="180">
        <f>SUM(B55:B63)</f>
        <v>892055</v>
      </c>
      <c r="C64" s="181">
        <f>SUM(C55:C63)</f>
        <v>662702</v>
      </c>
      <c r="D64" s="181" t="e">
        <f>SUM(D55:D63)</f>
        <v>#REF!</v>
      </c>
      <c r="E64" s="181" t="e">
        <f>SUM(E55:E63)</f>
        <v>#REF!</v>
      </c>
      <c r="F64" s="186" t="e">
        <f t="shared" si="14"/>
        <v>#REF!</v>
      </c>
      <c r="G64" s="180">
        <f>SUM(G55:G63)</f>
        <v>394558</v>
      </c>
      <c r="H64" s="180" t="e">
        <f>SUM(H55:H63)</f>
        <v>#REF!</v>
      </c>
      <c r="I64" s="186" t="e">
        <f>(H64-G64)/G64</f>
        <v>#REF!</v>
      </c>
      <c r="J64" s="180">
        <f>SUM(J55:J63)</f>
        <v>414062</v>
      </c>
      <c r="K64" s="181">
        <f>SUM(K55:K63)</f>
        <v>1400820</v>
      </c>
      <c r="L64" s="181" t="e">
        <f>SUM(L55:L63)</f>
        <v>#REF!</v>
      </c>
      <c r="M64" s="181" t="e">
        <f>SUM(M55:M63)</f>
        <v>#REF!</v>
      </c>
      <c r="N64" s="186" t="e">
        <f t="shared" si="15"/>
        <v>#REF!</v>
      </c>
      <c r="O64" s="180">
        <f>SUM(O55:O63)</f>
        <v>240841</v>
      </c>
      <c r="P64" s="181">
        <f>SUM(P55:P63)</f>
        <v>893306</v>
      </c>
      <c r="Q64" s="181" t="e">
        <f>SUM(Q55:Q63)</f>
        <v>#REF!</v>
      </c>
      <c r="R64" s="181" t="e">
        <f>SUM(R55:R63)</f>
        <v>#REF!</v>
      </c>
      <c r="S64" s="186" t="e">
        <f t="shared" si="16"/>
        <v>#REF!</v>
      </c>
      <c r="T64" s="180">
        <f>SUM(T55:T63)</f>
        <v>142260</v>
      </c>
      <c r="U64" s="181">
        <f>SUM(U55:U63)</f>
        <v>305120</v>
      </c>
      <c r="V64" s="181" t="e">
        <f>SUM(V55:V63)</f>
        <v>#REF!</v>
      </c>
      <c r="W64" s="181" t="e">
        <f>SUM(W55:W63)</f>
        <v>#REF!</v>
      </c>
      <c r="X64" s="186" t="e">
        <f t="shared" si="17"/>
        <v>#REF!</v>
      </c>
      <c r="Y64" s="180">
        <f>SUM(Y55:Y63)</f>
        <v>41201</v>
      </c>
      <c r="Z64" s="181">
        <f>SUM(Z55:Z63)</f>
        <v>34016</v>
      </c>
      <c r="AA64" s="181" t="e">
        <f>SUM(AA55:AA63)</f>
        <v>#REF!</v>
      </c>
      <c r="AB64" s="181" t="e">
        <f>SUM(AB55:AB63)</f>
        <v>#REF!</v>
      </c>
      <c r="AC64" s="186" t="e">
        <f t="shared" si="18"/>
        <v>#REF!</v>
      </c>
      <c r="AD64" s="180">
        <f>SUM(AD55:AD63)</f>
        <v>184250</v>
      </c>
      <c r="AE64" s="181">
        <f>SUM(AE55:AE63)</f>
        <v>300401</v>
      </c>
      <c r="AF64" s="181" t="e">
        <f>SUM(AF55:AF63)</f>
        <v>#REF!</v>
      </c>
      <c r="AG64" s="181" t="e">
        <f>SUM(AG55:AG63)</f>
        <v>#REF!</v>
      </c>
      <c r="AH64" s="186" t="e">
        <f t="shared" si="19"/>
        <v>#REF!</v>
      </c>
      <c r="AI64" s="180">
        <f>SUM(AI55:AI63)</f>
        <v>230463</v>
      </c>
      <c r="AJ64" s="181">
        <f>SUM(AJ55:AJ63)</f>
        <v>137560</v>
      </c>
      <c r="AK64" s="181" t="e">
        <f>SUM(AK55:AK63)</f>
        <v>#REF!</v>
      </c>
      <c r="AL64" s="181" t="e">
        <f>SUM(AL55:AL63)</f>
        <v>#REF!</v>
      </c>
      <c r="AM64" s="186" t="e">
        <f t="shared" si="20"/>
        <v>#REF!</v>
      </c>
      <c r="AN64" s="180">
        <f>SUM(AN55:AN63)</f>
        <v>132744</v>
      </c>
      <c r="AO64" s="181">
        <f>SUM(AO55:AO63)</f>
        <v>584069</v>
      </c>
      <c r="AP64" s="181" t="e">
        <f>SUM(AP55:AP63)</f>
        <v>#REF!</v>
      </c>
      <c r="AQ64" s="181" t="e">
        <f>SUM(AQ55:AQ63)</f>
        <v>#REF!</v>
      </c>
      <c r="AR64" s="186" t="e">
        <f t="shared" si="21"/>
        <v>#REF!</v>
      </c>
      <c r="AS64" s="180">
        <f>SUM(AS55:AS63)</f>
        <v>35580</v>
      </c>
      <c r="AT64" s="181">
        <f>SUM(AT55:AT63)</f>
        <v>1032011</v>
      </c>
      <c r="AU64" s="181" t="e">
        <f>SUM(AU55:AU63)</f>
        <v>#REF!</v>
      </c>
      <c r="AV64" s="181" t="e">
        <f>SUM(AV55:AV63)</f>
        <v>#REF!</v>
      </c>
      <c r="AW64" s="186" t="e">
        <f t="shared" si="25"/>
        <v>#REF!</v>
      </c>
      <c r="AX64" s="180">
        <f>SUM(AX55:AX63)</f>
        <v>1003251</v>
      </c>
      <c r="AY64" s="181">
        <f>SUM(AY55:AY63)</f>
        <v>1448420</v>
      </c>
      <c r="AZ64" s="181" t="e">
        <f>SUM(AZ55:AZ63)</f>
        <v>#REF!</v>
      </c>
      <c r="BA64" s="181" t="e">
        <f>SUM(BA55:BA63)</f>
        <v>#REF!</v>
      </c>
      <c r="BB64" s="186" t="e">
        <f t="shared" si="22"/>
        <v>#REF!</v>
      </c>
      <c r="BC64" s="180">
        <f>SUM(BC55:BC63)</f>
        <v>10509690</v>
      </c>
      <c r="BD64" s="180" t="e">
        <f>SUM(BD55:BD63)</f>
        <v>#REF!</v>
      </c>
      <c r="BE64" s="186" t="e">
        <f>(BD64-BC64)/BC64</f>
        <v>#REF!</v>
      </c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</row>
    <row r="65" spans="1:56" ht="13.8" thickTop="1" x14ac:dyDescent="0.25"/>
    <row r="66" spans="1:56" x14ac:dyDescent="0.25">
      <c r="BD66" s="17"/>
    </row>
    <row r="68" spans="1:56" x14ac:dyDescent="0.25"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</row>
    <row r="69" spans="1:56" ht="52.8" x14ac:dyDescent="0.25">
      <c r="A69" s="187" t="s">
        <v>256</v>
      </c>
      <c r="B69" s="183" t="s">
        <v>36</v>
      </c>
      <c r="C69" s="184" t="s">
        <v>244</v>
      </c>
      <c r="D69" s="185" t="s">
        <v>248</v>
      </c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Q69" s="189"/>
    </row>
    <row r="70" spans="1:56" s="71" customFormat="1" x14ac:dyDescent="0.25">
      <c r="A70" s="195" t="s">
        <v>37</v>
      </c>
      <c r="B70" s="196">
        <f>'Revised FY21 Budget Dept '!$AZ2</f>
        <v>248579</v>
      </c>
      <c r="C70" s="198" t="e">
        <f>#REF!</f>
        <v>#REF!</v>
      </c>
      <c r="D70" s="201" t="e">
        <f>(C70-B70)/B70</f>
        <v>#REF!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73"/>
      <c r="AI70" s="73"/>
      <c r="AJ70" s="73"/>
      <c r="AK70" s="73"/>
      <c r="AL70" s="73"/>
      <c r="AM70" s="73"/>
      <c r="AN70" s="73"/>
      <c r="AO70" s="73"/>
      <c r="AP70" s="73"/>
      <c r="AQ70" s="189"/>
      <c r="AR70" s="73"/>
      <c r="AS70" s="73"/>
      <c r="AT70" s="73"/>
      <c r="AU70" s="73"/>
      <c r="AV70" s="73"/>
      <c r="AW70" s="73"/>
      <c r="AX70" s="73"/>
    </row>
    <row r="71" spans="1:56" s="71" customFormat="1" x14ac:dyDescent="0.25">
      <c r="A71" s="195" t="s">
        <v>38</v>
      </c>
      <c r="B71" s="196">
        <f>'Revised FY21 Budget Dept '!$AZ3</f>
        <v>0</v>
      </c>
      <c r="C71" s="198" t="e">
        <f>#REF!</f>
        <v>#REF!</v>
      </c>
      <c r="D71" s="201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73"/>
      <c r="AI71" s="73"/>
      <c r="AJ71" s="73"/>
      <c r="AK71" s="73"/>
      <c r="AL71" s="73"/>
      <c r="AM71" s="73"/>
      <c r="AN71" s="73"/>
      <c r="AO71" s="73"/>
      <c r="AP71" s="73"/>
      <c r="AQ71" s="189"/>
      <c r="AR71" s="73"/>
      <c r="AS71" s="73"/>
      <c r="AT71" s="73"/>
      <c r="AU71" s="73"/>
      <c r="AV71" s="73"/>
      <c r="AW71" s="73"/>
      <c r="AX71" s="73"/>
    </row>
    <row r="72" spans="1:56" s="200" customFormat="1" ht="13.8" thickBot="1" x14ac:dyDescent="0.3">
      <c r="A72" s="207" t="s">
        <v>39</v>
      </c>
      <c r="B72" s="203">
        <f>SUM(B70:B71)</f>
        <v>248579</v>
      </c>
      <c r="C72" s="203" t="e">
        <f>SUM(C70:C71)</f>
        <v>#REF!</v>
      </c>
      <c r="D72" s="209" t="e">
        <f>(C72-B72)/B72</f>
        <v>#REF!</v>
      </c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199"/>
      <c r="AI72" s="199"/>
      <c r="AJ72" s="199"/>
      <c r="AK72" s="199"/>
      <c r="AL72" s="199"/>
      <c r="AM72" s="199"/>
      <c r="AN72" s="199"/>
      <c r="AO72" s="199"/>
      <c r="AP72" s="199"/>
      <c r="AQ72" s="198"/>
      <c r="AR72" s="199"/>
      <c r="AS72" s="199"/>
      <c r="AT72" s="199"/>
      <c r="AU72" s="199"/>
      <c r="AV72" s="199"/>
      <c r="AW72" s="199"/>
      <c r="AX72" s="199"/>
    </row>
    <row r="73" spans="1:56" s="71" customFormat="1" ht="16.2" thickTop="1" x14ac:dyDescent="0.25">
      <c r="A73" s="191"/>
      <c r="B73" s="192"/>
      <c r="C73" s="193"/>
      <c r="D73" s="194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73"/>
      <c r="AI73" s="73"/>
      <c r="AJ73" s="73"/>
      <c r="AK73" s="73"/>
      <c r="AL73" s="73"/>
      <c r="AM73" s="73"/>
      <c r="AN73" s="73"/>
      <c r="AO73" s="73"/>
      <c r="AP73" s="73"/>
      <c r="AQ73" s="189"/>
      <c r="AR73" s="73"/>
      <c r="AS73" s="73"/>
      <c r="AT73" s="73"/>
      <c r="AU73" s="73"/>
      <c r="AV73" s="73"/>
      <c r="AW73" s="73"/>
      <c r="AX73" s="73"/>
    </row>
    <row r="74" spans="1:56" x14ac:dyDescent="0.25">
      <c r="A74" s="5" t="s">
        <v>129</v>
      </c>
      <c r="B74" s="8">
        <f>'Revised FY21 Budget Dept '!$AZ108</f>
        <v>293597</v>
      </c>
      <c r="C74" s="75" t="e">
        <f>#REF!</f>
        <v>#REF!</v>
      </c>
      <c r="D74" s="182" t="e">
        <f>(C74-B74)/B74</f>
        <v>#REF!</v>
      </c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Q74" s="112"/>
    </row>
    <row r="75" spans="1:56" x14ac:dyDescent="0.25">
      <c r="A75" s="5" t="s">
        <v>181</v>
      </c>
      <c r="B75" s="8">
        <f>'Revised FY21 Budget Dept '!$AZ109</f>
        <v>479026</v>
      </c>
      <c r="C75" s="75" t="e">
        <f>#REF!</f>
        <v>#REF!</v>
      </c>
      <c r="D75" s="182" t="e">
        <f t="shared" ref="D75:D81" si="26">(C75-B75)/B75</f>
        <v>#REF!</v>
      </c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Q75" s="112"/>
    </row>
    <row r="76" spans="1:56" x14ac:dyDescent="0.25">
      <c r="A76" s="5" t="s">
        <v>182</v>
      </c>
      <c r="B76" s="8">
        <f>'Revised FY21 Budget Dept '!$AZ110</f>
        <v>1022300</v>
      </c>
      <c r="C76" s="75" t="e">
        <f>#REF!</f>
        <v>#REF!</v>
      </c>
      <c r="D76" s="182" t="e">
        <f t="shared" si="26"/>
        <v>#REF!</v>
      </c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Q76" s="112"/>
    </row>
    <row r="77" spans="1:56" x14ac:dyDescent="0.25">
      <c r="A77" s="5" t="s">
        <v>130</v>
      </c>
      <c r="B77" s="8">
        <f>'Revised FY21 Budget Dept '!$AZ111</f>
        <v>265768</v>
      </c>
      <c r="C77" s="75" t="e">
        <f>#REF!</f>
        <v>#REF!</v>
      </c>
      <c r="D77" s="182" t="e">
        <f t="shared" si="26"/>
        <v>#REF!</v>
      </c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Q77" s="112"/>
    </row>
    <row r="78" spans="1:56" x14ac:dyDescent="0.25">
      <c r="A78" s="5" t="s">
        <v>131</v>
      </c>
      <c r="B78" s="8">
        <f>'Revised FY21 Budget Dept '!$AZ112</f>
        <v>1338961</v>
      </c>
      <c r="C78" s="75" t="e">
        <f>#REF!</f>
        <v>#REF!</v>
      </c>
      <c r="D78" s="182" t="e">
        <f t="shared" si="26"/>
        <v>#REF!</v>
      </c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Q78" s="112"/>
    </row>
    <row r="79" spans="1:56" x14ac:dyDescent="0.25">
      <c r="A79" s="5" t="s">
        <v>90</v>
      </c>
      <c r="B79" s="8">
        <f>'Revised FY21 Budget Dept '!$AZ113</f>
        <v>10380143</v>
      </c>
      <c r="C79" s="75" t="e">
        <f>#REF!</f>
        <v>#REF!</v>
      </c>
      <c r="D79" s="182" t="e">
        <f t="shared" si="26"/>
        <v>#REF!</v>
      </c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Q79" s="112"/>
    </row>
    <row r="80" spans="1:56" x14ac:dyDescent="0.25">
      <c r="A80" s="5" t="s">
        <v>132</v>
      </c>
      <c r="B80" s="8">
        <f>'Revised FY21 Budget Dept '!$AZ114</f>
        <v>9300</v>
      </c>
      <c r="C80" s="75" t="e">
        <f>#REF!</f>
        <v>#REF!</v>
      </c>
      <c r="D80" s="182" t="e">
        <f t="shared" si="26"/>
        <v>#REF!</v>
      </c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Q80" s="112"/>
    </row>
    <row r="81" spans="1:50" x14ac:dyDescent="0.25">
      <c r="A81" s="5" t="s">
        <v>133</v>
      </c>
      <c r="B81" s="8">
        <f>'Revised FY21 Budget Dept '!$AZ115</f>
        <v>2400</v>
      </c>
      <c r="C81" s="75" t="e">
        <f>#REF!</f>
        <v>#REF!</v>
      </c>
      <c r="D81" s="182" t="e">
        <f t="shared" si="26"/>
        <v>#REF!</v>
      </c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Q81" s="112"/>
    </row>
    <row r="82" spans="1:50" x14ac:dyDescent="0.25">
      <c r="A82" s="5" t="s">
        <v>134</v>
      </c>
      <c r="B82" s="8">
        <v>0</v>
      </c>
      <c r="C82" s="75" t="e">
        <f>#REF!</f>
        <v>#REF!</v>
      </c>
      <c r="D82" s="18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Q82" s="112"/>
    </row>
    <row r="83" spans="1:50" ht="13.8" thickBot="1" x14ac:dyDescent="0.3">
      <c r="A83" s="188" t="s">
        <v>128</v>
      </c>
      <c r="B83" s="180">
        <f>SUM(B74:B82)</f>
        <v>13791495</v>
      </c>
      <c r="C83" s="190" t="e">
        <f>SUM(C74:C82)</f>
        <v>#REF!</v>
      </c>
      <c r="D83" s="186" t="e">
        <f>(C83-B83)/B83</f>
        <v>#REF!</v>
      </c>
      <c r="AQ83" s="112"/>
    </row>
    <row r="84" spans="1:50" ht="13.8" thickTop="1" x14ac:dyDescent="0.25"/>
    <row r="88" spans="1:50" ht="39.6" x14ac:dyDescent="0.25">
      <c r="A88" s="187" t="s">
        <v>257</v>
      </c>
      <c r="B88" s="183" t="s">
        <v>261</v>
      </c>
      <c r="C88" s="184" t="s">
        <v>258</v>
      </c>
      <c r="D88" s="185" t="s">
        <v>248</v>
      </c>
    </row>
    <row r="89" spans="1:50" s="200" customFormat="1" x14ac:dyDescent="0.25">
      <c r="A89" s="195" t="s">
        <v>37</v>
      </c>
      <c r="B89" s="196">
        <f>+B70+BC51+T32+AC13</f>
        <v>580291</v>
      </c>
      <c r="C89" s="198" t="e">
        <f>+C70+BD51+U32+AD13</f>
        <v>#REF!</v>
      </c>
      <c r="D89" s="201" t="e">
        <f>(C89-B89)/B89</f>
        <v>#REF!</v>
      </c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</row>
    <row r="90" spans="1:50" s="200" customFormat="1" x14ac:dyDescent="0.25">
      <c r="A90" s="195" t="s">
        <v>38</v>
      </c>
      <c r="B90" s="196">
        <f>+B71+BC52+T33+AC14</f>
        <v>3633760</v>
      </c>
      <c r="C90" s="198" t="e">
        <f>+C71+BD52+U33+AD14</f>
        <v>#REF!</v>
      </c>
      <c r="D90" s="201" t="e">
        <f>(C90-B90)/B90</f>
        <v>#REF!</v>
      </c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</row>
    <row r="91" spans="1:50" s="200" customFormat="1" ht="13.8" thickBot="1" x14ac:dyDescent="0.3">
      <c r="A91" s="207" t="s">
        <v>39</v>
      </c>
      <c r="B91" s="203">
        <f>SUM(B89:B90)</f>
        <v>4214051</v>
      </c>
      <c r="C91" s="203" t="e">
        <f>SUM(C89:C90)</f>
        <v>#REF!</v>
      </c>
      <c r="D91" s="209" t="e">
        <f>(C91-B91)/B91</f>
        <v>#REF!</v>
      </c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</row>
    <row r="92" spans="1:50" s="200" customFormat="1" ht="16.2" thickTop="1" x14ac:dyDescent="0.25">
      <c r="A92" s="211"/>
      <c r="B92" s="196"/>
      <c r="C92" s="198"/>
      <c r="D92" s="197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</row>
    <row r="93" spans="1:50" x14ac:dyDescent="0.25">
      <c r="A93" s="5" t="s">
        <v>129</v>
      </c>
      <c r="B93" s="8">
        <f t="shared" ref="B93:B101" si="27">+B74+BC55+T36+AC17</f>
        <v>11900215</v>
      </c>
      <c r="C93" s="8" t="e">
        <f t="shared" ref="C93:C101" si="28">+C74+BD55+U36+AD17</f>
        <v>#REF!</v>
      </c>
      <c r="D93" s="182" t="e">
        <f>(C93-B93)/B93</f>
        <v>#REF!</v>
      </c>
    </row>
    <row r="94" spans="1:50" x14ac:dyDescent="0.25">
      <c r="A94" s="5" t="s">
        <v>181</v>
      </c>
      <c r="B94" s="8">
        <f t="shared" si="27"/>
        <v>5430011</v>
      </c>
      <c r="C94" s="8" t="e">
        <f t="shared" si="28"/>
        <v>#REF!</v>
      </c>
      <c r="D94" s="182" t="e">
        <f t="shared" ref="D94:D100" si="29">(C94-B94)/B94</f>
        <v>#REF!</v>
      </c>
    </row>
    <row r="95" spans="1:50" x14ac:dyDescent="0.25">
      <c r="A95" s="5" t="s">
        <v>182</v>
      </c>
      <c r="B95" s="8">
        <f t="shared" si="27"/>
        <v>2861812</v>
      </c>
      <c r="C95" s="8" t="e">
        <f t="shared" si="28"/>
        <v>#REF!</v>
      </c>
      <c r="D95" s="182" t="e">
        <f t="shared" si="29"/>
        <v>#REF!</v>
      </c>
    </row>
    <row r="96" spans="1:50" x14ac:dyDescent="0.25">
      <c r="A96" s="5" t="s">
        <v>130</v>
      </c>
      <c r="B96" s="8">
        <f t="shared" si="27"/>
        <v>508810</v>
      </c>
      <c r="C96" s="8" t="e">
        <f t="shared" si="28"/>
        <v>#REF!</v>
      </c>
      <c r="D96" s="182" t="e">
        <f t="shared" si="29"/>
        <v>#REF!</v>
      </c>
    </row>
    <row r="97" spans="1:50" x14ac:dyDescent="0.25">
      <c r="A97" s="5" t="s">
        <v>131</v>
      </c>
      <c r="B97" s="8">
        <f t="shared" si="27"/>
        <v>1805514</v>
      </c>
      <c r="C97" s="8" t="e">
        <f t="shared" si="28"/>
        <v>#REF!</v>
      </c>
      <c r="D97" s="182" t="e">
        <f t="shared" si="29"/>
        <v>#REF!</v>
      </c>
    </row>
    <row r="98" spans="1:50" x14ac:dyDescent="0.25">
      <c r="A98" s="5" t="s">
        <v>90</v>
      </c>
      <c r="B98" s="8">
        <f t="shared" si="27"/>
        <v>11203657</v>
      </c>
      <c r="C98" s="8" t="e">
        <f t="shared" si="28"/>
        <v>#REF!</v>
      </c>
      <c r="D98" s="182" t="e">
        <f t="shared" si="29"/>
        <v>#REF!</v>
      </c>
    </row>
    <row r="99" spans="1:50" x14ac:dyDescent="0.25">
      <c r="A99" s="5" t="s">
        <v>132</v>
      </c>
      <c r="B99" s="8">
        <f t="shared" si="27"/>
        <v>296039</v>
      </c>
      <c r="C99" s="8" t="e">
        <f t="shared" si="28"/>
        <v>#REF!</v>
      </c>
      <c r="D99" s="182" t="e">
        <f t="shared" si="29"/>
        <v>#REF!</v>
      </c>
    </row>
    <row r="100" spans="1:50" x14ac:dyDescent="0.25">
      <c r="A100" s="5" t="s">
        <v>133</v>
      </c>
      <c r="B100" s="8">
        <f t="shared" si="27"/>
        <v>238468</v>
      </c>
      <c r="C100" s="8" t="e">
        <f t="shared" si="28"/>
        <v>#REF!</v>
      </c>
      <c r="D100" s="182" t="e">
        <f t="shared" si="29"/>
        <v>#REF!</v>
      </c>
    </row>
    <row r="101" spans="1:50" x14ac:dyDescent="0.25">
      <c r="A101" s="5" t="s">
        <v>134</v>
      </c>
      <c r="B101" s="8">
        <f t="shared" si="27"/>
        <v>0</v>
      </c>
      <c r="C101" s="8" t="e">
        <f t="shared" si="28"/>
        <v>#REF!</v>
      </c>
      <c r="D101" s="182"/>
    </row>
    <row r="102" spans="1:50" ht="13.8" thickBot="1" x14ac:dyDescent="0.3">
      <c r="A102" s="188" t="s">
        <v>128</v>
      </c>
      <c r="B102" s="180">
        <f>SUM(B93:B101)</f>
        <v>34244526</v>
      </c>
      <c r="C102" s="190" t="e">
        <f>SUM(C93:C101)</f>
        <v>#REF!</v>
      </c>
      <c r="D102" s="186" t="e">
        <f>(C102-B102)/B102</f>
        <v>#REF!</v>
      </c>
    </row>
    <row r="103" spans="1:50" ht="13.8" thickTop="1" x14ac:dyDescent="0.25"/>
    <row r="106" spans="1:50" x14ac:dyDescent="0.25">
      <c r="A106" s="5" t="s">
        <v>387</v>
      </c>
    </row>
    <row r="107" spans="1:50" x14ac:dyDescent="0.25">
      <c r="B107" s="299" t="s">
        <v>388</v>
      </c>
      <c r="C107" s="299" t="s">
        <v>389</v>
      </c>
      <c r="D107" s="299" t="s">
        <v>390</v>
      </c>
      <c r="E107" s="299" t="s">
        <v>402</v>
      </c>
    </row>
    <row r="108" spans="1:50" x14ac:dyDescent="0.25">
      <c r="A108" s="35" t="s">
        <v>393</v>
      </c>
      <c r="B108" s="300">
        <v>0.3</v>
      </c>
      <c r="C108" s="300">
        <v>0.7</v>
      </c>
      <c r="D108" s="300">
        <v>0</v>
      </c>
      <c r="E108" s="8">
        <v>227424</v>
      </c>
    </row>
    <row r="109" spans="1:50" s="13" customFormat="1" x14ac:dyDescent="0.25">
      <c r="A109" s="306" t="s">
        <v>398</v>
      </c>
      <c r="B109" s="307">
        <f>$E$108*B108</f>
        <v>68227.199999999997</v>
      </c>
      <c r="C109" s="307">
        <f>$E$108*C108</f>
        <v>159196.79999999999</v>
      </c>
      <c r="D109" s="307">
        <f>$E$108*D108</f>
        <v>0</v>
      </c>
      <c r="E109" s="307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</row>
    <row r="110" spans="1:50" x14ac:dyDescent="0.25">
      <c r="A110" s="35" t="s">
        <v>394</v>
      </c>
      <c r="B110" s="300">
        <v>0.6</v>
      </c>
      <c r="C110" s="300">
        <v>0</v>
      </c>
      <c r="D110" s="300">
        <v>0.4</v>
      </c>
      <c r="E110" s="8">
        <f>247060+6000+(60*12)</f>
        <v>253780</v>
      </c>
    </row>
    <row r="111" spans="1:50" s="13" customFormat="1" x14ac:dyDescent="0.25">
      <c r="A111" s="306" t="s">
        <v>399</v>
      </c>
      <c r="B111" s="307">
        <f>$E$110*B110</f>
        <v>152268</v>
      </c>
      <c r="C111" s="307">
        <f>$E$110*C110</f>
        <v>0</v>
      </c>
      <c r="D111" s="307">
        <f>$E$110*D110</f>
        <v>101512</v>
      </c>
      <c r="E111" s="307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</row>
    <row r="112" spans="1:50" x14ac:dyDescent="0.25">
      <c r="A112" s="35" t="s">
        <v>395</v>
      </c>
      <c r="B112" s="300">
        <v>0</v>
      </c>
      <c r="C112" s="300">
        <v>0.2</v>
      </c>
      <c r="D112" s="300">
        <v>0.8</v>
      </c>
      <c r="E112" s="8">
        <v>76702</v>
      </c>
    </row>
    <row r="113" spans="1:50" s="13" customFormat="1" x14ac:dyDescent="0.25">
      <c r="A113" s="306" t="s">
        <v>400</v>
      </c>
      <c r="B113" s="307">
        <f>$E$112*B112</f>
        <v>0</v>
      </c>
      <c r="C113" s="307">
        <f>$E$112*C112</f>
        <v>15340.400000000001</v>
      </c>
      <c r="D113" s="307">
        <f>$E$112*D112</f>
        <v>61361.600000000006</v>
      </c>
      <c r="E113" s="307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</row>
    <row r="114" spans="1:50" x14ac:dyDescent="0.25">
      <c r="A114" s="35" t="s">
        <v>392</v>
      </c>
      <c r="B114" s="300">
        <v>0</v>
      </c>
      <c r="C114" s="300">
        <v>1</v>
      </c>
      <c r="D114" s="300">
        <v>0</v>
      </c>
      <c r="E114" s="8">
        <v>93754</v>
      </c>
    </row>
    <row r="115" spans="1:50" s="13" customFormat="1" x14ac:dyDescent="0.25">
      <c r="A115" s="306" t="s">
        <v>401</v>
      </c>
      <c r="B115" s="307">
        <f>$E$114*B114</f>
        <v>0</v>
      </c>
      <c r="C115" s="307">
        <f>$E$114*C114</f>
        <v>93754</v>
      </c>
      <c r="D115" s="307">
        <f>$E$114*D114</f>
        <v>0</v>
      </c>
      <c r="E115" s="307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</row>
    <row r="116" spans="1:50" s="13" customFormat="1" x14ac:dyDescent="0.25">
      <c r="A116" s="303" t="s">
        <v>403</v>
      </c>
      <c r="B116" s="304">
        <f>B109+B111+B113+B115</f>
        <v>220495.2</v>
      </c>
      <c r="C116" s="304">
        <f>C109+C111+C113+C115</f>
        <v>268291.19999999995</v>
      </c>
      <c r="D116" s="304">
        <f>D109+D111+D113+D115</f>
        <v>162873.60000000001</v>
      </c>
      <c r="E116" s="304">
        <f>E108+E110+E112+E114</f>
        <v>651660</v>
      </c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</row>
    <row r="118" spans="1:50" x14ac:dyDescent="0.25">
      <c r="A118" s="35" t="s">
        <v>391</v>
      </c>
      <c r="B118" s="8">
        <v>168155</v>
      </c>
      <c r="C118" s="8" t="s">
        <v>396</v>
      </c>
      <c r="F118" s="301" t="s">
        <v>397</v>
      </c>
      <c r="G118" s="8">
        <v>15357323</v>
      </c>
    </row>
    <row r="120" spans="1:50" x14ac:dyDescent="0.25">
      <c r="B120" s="299" t="s">
        <v>388</v>
      </c>
      <c r="C120" s="299" t="s">
        <v>389</v>
      </c>
      <c r="D120" s="299" t="s">
        <v>390</v>
      </c>
      <c r="E120" s="299" t="s">
        <v>402</v>
      </c>
    </row>
    <row r="121" spans="1:50" x14ac:dyDescent="0.25">
      <c r="A121" s="5" t="s">
        <v>405</v>
      </c>
      <c r="B121" s="299" t="e">
        <f>+AD26</f>
        <v>#REF!</v>
      </c>
      <c r="C121" s="299" t="e">
        <f>U45+BD64</f>
        <v>#REF!</v>
      </c>
      <c r="D121" s="299" t="e">
        <f>+C83</f>
        <v>#REF!</v>
      </c>
      <c r="E121" s="299" t="e">
        <f>SUM(B121:D121)</f>
        <v>#REF!</v>
      </c>
    </row>
    <row r="122" spans="1:50" x14ac:dyDescent="0.25">
      <c r="B122" s="305" t="e">
        <f>B121/$E$121</f>
        <v>#REF!</v>
      </c>
      <c r="C122" s="305" t="e">
        <f>C121/$E$121</f>
        <v>#REF!</v>
      </c>
      <c r="D122" s="305" t="e">
        <f>D121/$E$121</f>
        <v>#REF!</v>
      </c>
      <c r="E122" s="305" t="e">
        <f>SUM(B122:D122)</f>
        <v>#REF!</v>
      </c>
    </row>
    <row r="123" spans="1:50" x14ac:dyDescent="0.25">
      <c r="A123" s="5" t="s">
        <v>404</v>
      </c>
      <c r="B123" s="8" t="e">
        <f>AD26-E116+B116</f>
        <v>#REF!</v>
      </c>
      <c r="C123" s="8" t="e">
        <f>U45+BD64+C116</f>
        <v>#REF!</v>
      </c>
      <c r="D123" s="8" t="e">
        <f>C83+D116</f>
        <v>#REF!</v>
      </c>
      <c r="E123" s="8" t="e">
        <f>SUM(B123:D123)</f>
        <v>#REF!</v>
      </c>
    </row>
    <row r="124" spans="1:50" x14ac:dyDescent="0.25">
      <c r="B124" s="305" t="e">
        <f>B123/$E$123</f>
        <v>#REF!</v>
      </c>
      <c r="C124" s="305" t="e">
        <f>C123/$E$123</f>
        <v>#REF!</v>
      </c>
      <c r="D124" s="305" t="e">
        <f>D123/$E$123</f>
        <v>#REF!</v>
      </c>
      <c r="E124" s="305" t="e">
        <f>SUM(B124:D124)</f>
        <v>#REF!</v>
      </c>
    </row>
    <row r="126" spans="1:50" x14ac:dyDescent="0.25">
      <c r="A126" s="13" t="s">
        <v>406</v>
      </c>
    </row>
    <row r="127" spans="1:50" x14ac:dyDescent="0.25">
      <c r="B127" s="8" t="s">
        <v>409</v>
      </c>
      <c r="C127" s="8" t="s">
        <v>407</v>
      </c>
      <c r="D127" s="8" t="s">
        <v>408</v>
      </c>
    </row>
    <row r="128" spans="1:50" x14ac:dyDescent="0.25">
      <c r="B128" s="8" t="e">
        <f>+B121</f>
        <v>#REF!</v>
      </c>
      <c r="C128" s="8" t="e">
        <f>+C102</f>
        <v>#REF!</v>
      </c>
      <c r="D128" s="8">
        <f>+G118</f>
        <v>15357323</v>
      </c>
      <c r="E128" s="302" t="e">
        <f>B128/SUM(C128+D128)</f>
        <v>#REF!</v>
      </c>
      <c r="F128" s="124" t="s">
        <v>411</v>
      </c>
    </row>
    <row r="131" spans="2:6" x14ac:dyDescent="0.25">
      <c r="B131" s="8" t="s">
        <v>410</v>
      </c>
      <c r="C131" s="8" t="s">
        <v>407</v>
      </c>
      <c r="D131" s="8" t="s">
        <v>408</v>
      </c>
    </row>
    <row r="132" spans="2:6" x14ac:dyDescent="0.25">
      <c r="B132" s="8" t="e">
        <f>+B123</f>
        <v>#REF!</v>
      </c>
      <c r="C132" s="8">
        <v>36796392.5625</v>
      </c>
      <c r="D132" s="8">
        <v>15357323</v>
      </c>
      <c r="E132" s="302" t="e">
        <f>B132/SUM(C132+D132)</f>
        <v>#REF!</v>
      </c>
      <c r="F132" s="124" t="s">
        <v>411</v>
      </c>
    </row>
  </sheetData>
  <mergeCells count="1">
    <mergeCell ref="AW2:AX2"/>
  </mergeCells>
  <printOptions horizontalCentered="1"/>
  <pageMargins left="0" right="0" top="1.25" bottom="0.25" header="0.25" footer="0.3"/>
  <pageSetup paperSize="17" scale="90" orientation="landscape" r:id="rId1"/>
  <headerFooter>
    <oddHeader>&amp;C&amp;"Agenda,Regular"&amp;12&amp;K1E384BDENTON COUNTY TRANSPORTATION AUTHORITY
FY22 Proposed Budget
Budget Detail by Department</oddHeader>
  </headerFooter>
  <rowBreaks count="2" manualBreakCount="2">
    <brk id="49" max="56" man="1"/>
    <brk id="67" max="56" man="1"/>
  </rowBreaks>
  <colBreaks count="3" manualBreakCount="3">
    <brk id="14" min="1" max="101" man="1"/>
    <brk id="29" min="1" max="101" man="1"/>
    <brk id="44" min="1" max="10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855482359EC14CB59AD1AE69CB5A45" ma:contentTypeVersion="10" ma:contentTypeDescription="Create a new document." ma:contentTypeScope="" ma:versionID="8b5df3a82a4473fa4514891fd99d0e8c">
  <xsd:schema xmlns:xsd="http://www.w3.org/2001/XMLSchema" xmlns:xs="http://www.w3.org/2001/XMLSchema" xmlns:p="http://schemas.microsoft.com/office/2006/metadata/properties" xmlns:ns3="87a3f935-a908-4e96-b6d3-d5f052a53bc7" xmlns:ns4="31744a7e-82fe-438c-ad19-921b810d0846" targetNamespace="http://schemas.microsoft.com/office/2006/metadata/properties" ma:root="true" ma:fieldsID="a883bcd3d65b40fb2c655e839ade25e3" ns3:_="" ns4:_="">
    <xsd:import namespace="87a3f935-a908-4e96-b6d3-d5f052a53bc7"/>
    <xsd:import namespace="31744a7e-82fe-438c-ad19-921b810d08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3f935-a908-4e96-b6d3-d5f052a53b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44a7e-82fe-438c-ad19-921b810d0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68C9E-4ABF-4AC6-B0C3-FDD952718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3f935-a908-4e96-b6d3-d5f052a53bc7"/>
    <ds:schemaRef ds:uri="31744a7e-82fe-438c-ad19-921b810d0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D4036-2144-448E-A8FF-11BC72A153FB}">
  <ds:schemaRefs>
    <ds:schemaRef ds:uri="http://purl.org/dc/terms/"/>
    <ds:schemaRef ds:uri="31744a7e-82fe-438c-ad19-921b810d0846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7a3f935-a908-4e96-b6d3-d5f052a53b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C8F11B-665D-479C-BC29-7B6FE7065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Adopted FY20 Budget Fund</vt:lpstr>
      <vt:lpstr>Adopted FY21 Budget Dept</vt:lpstr>
      <vt:lpstr>Revised FY21 Budget Dept </vt:lpstr>
      <vt:lpstr>Adopted FY22 Budget</vt:lpstr>
      <vt:lpstr>Comparison FY20 v FY22</vt:lpstr>
      <vt:lpstr>Comparison FY21 v FY22</vt:lpstr>
      <vt:lpstr>'Adopted FY20 Budget Fund'!Print_Area</vt:lpstr>
      <vt:lpstr>'Adopted FY21 Budget Dept'!Print_Area</vt:lpstr>
      <vt:lpstr>'Adopted FY22 Budget'!Print_Area</vt:lpstr>
      <vt:lpstr>'Comparison FY21 v FY22'!Print_Area</vt:lpstr>
      <vt:lpstr>'Revised FY21 Budget Dept '!Print_Area</vt:lpstr>
      <vt:lpstr>'Adopted FY20 Budget Fund'!Print_Titles</vt:lpstr>
      <vt:lpstr>'Adopted FY21 Budget Dept'!Print_Titles</vt:lpstr>
      <vt:lpstr>'Adopted FY22 Budget'!Print_Titles</vt:lpstr>
      <vt:lpstr>'Comparison FY20 v FY22'!Print_Titles</vt:lpstr>
      <vt:lpstr>'Comparison FY21 v FY22'!Print_Titles</vt:lpstr>
      <vt:lpstr>'Revised FY21 Budget Dept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Riddle</dc:creator>
  <cp:lastModifiedBy>Amanda Riddle</cp:lastModifiedBy>
  <cp:lastPrinted>2021-06-08T14:36:34Z</cp:lastPrinted>
  <dcterms:created xsi:type="dcterms:W3CDTF">2020-06-07T00:24:37Z</dcterms:created>
  <dcterms:modified xsi:type="dcterms:W3CDTF">2021-12-21T17:30:58Z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0x01010064855482359EC14CB59AD1AE69CB5A45</vt:lpwstr>
  </property>
</Properties>
</file>